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qiyi\git\hply\02_客户资料\事业项目部导入表\"/>
    </mc:Choice>
  </mc:AlternateContent>
  <bookViews>
    <workbookView xWindow="0" yWindow="0" windowWidth="14340" windowHeight="13620"/>
  </bookViews>
  <sheets>
    <sheet name="校对" sheetId="7" r:id="rId1"/>
    <sheet name="导出" sheetId="4" r:id="rId2"/>
    <sheet name="计算" sheetId="5" r:id="rId3"/>
    <sheet name="全部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" i="7" l="1"/>
  <c r="AA6" i="7"/>
  <c r="AA7" i="7"/>
  <c r="AA8" i="7"/>
  <c r="AA2" i="7" s="1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4" i="7"/>
  <c r="V5" i="7"/>
  <c r="V6" i="7"/>
  <c r="V7" i="7"/>
  <c r="V8" i="7"/>
  <c r="V2" i="7" s="1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4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E85" i="7"/>
  <c r="AE86" i="7"/>
  <c r="AE87" i="7"/>
  <c r="AE88" i="7"/>
  <c r="AE89" i="7"/>
  <c r="AE90" i="7"/>
  <c r="AE91" i="7"/>
  <c r="AE92" i="7"/>
  <c r="AE93" i="7"/>
  <c r="AE94" i="7"/>
  <c r="AE95" i="7"/>
  <c r="AE96" i="7"/>
  <c r="AE97" i="7"/>
  <c r="AE98" i="7"/>
  <c r="AE99" i="7"/>
  <c r="AE100" i="7"/>
  <c r="AE101" i="7"/>
  <c r="AE102" i="7"/>
  <c r="AE103" i="7"/>
  <c r="AE104" i="7"/>
  <c r="AE105" i="7"/>
  <c r="AE106" i="7"/>
  <c r="AE107" i="7"/>
  <c r="AE108" i="7"/>
  <c r="AE109" i="7"/>
  <c r="AE110" i="7"/>
  <c r="AE111" i="7"/>
  <c r="AE112" i="7"/>
  <c r="AE113" i="7"/>
  <c r="AE114" i="7"/>
  <c r="AE115" i="7"/>
  <c r="AE116" i="7"/>
  <c r="AE117" i="7"/>
  <c r="AE118" i="7"/>
  <c r="AE119" i="7"/>
  <c r="AE120" i="7"/>
  <c r="AE121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AF92" i="7"/>
  <c r="AF93" i="7"/>
  <c r="AF94" i="7"/>
  <c r="AF95" i="7"/>
  <c r="AF96" i="7"/>
  <c r="AF97" i="7"/>
  <c r="AF98" i="7"/>
  <c r="AF99" i="7"/>
  <c r="AF100" i="7"/>
  <c r="AF101" i="7"/>
  <c r="AF102" i="7"/>
  <c r="AF103" i="7"/>
  <c r="AF104" i="7"/>
  <c r="AF105" i="7"/>
  <c r="AF106" i="7"/>
  <c r="AF107" i="7"/>
  <c r="AF108" i="7"/>
  <c r="AF109" i="7"/>
  <c r="AF110" i="7"/>
  <c r="AF111" i="7"/>
  <c r="AF112" i="7"/>
  <c r="AF113" i="7"/>
  <c r="AF114" i="7"/>
  <c r="AF115" i="7"/>
  <c r="AF116" i="7"/>
  <c r="AF117" i="7"/>
  <c r="AF118" i="7"/>
  <c r="AF119" i="7"/>
  <c r="AF120" i="7"/>
  <c r="AF121" i="7"/>
  <c r="AF122" i="7"/>
  <c r="AF123" i="7"/>
  <c r="AF124" i="7"/>
  <c r="AF125" i="7"/>
  <c r="AF126" i="7"/>
  <c r="AF127" i="7"/>
  <c r="AF128" i="7"/>
  <c r="AF129" i="7"/>
  <c r="AF130" i="7"/>
  <c r="AF131" i="7"/>
  <c r="AF132" i="7"/>
  <c r="AF133" i="7"/>
  <c r="AF134" i="7"/>
  <c r="AF135" i="7"/>
  <c r="AF136" i="7"/>
  <c r="AF137" i="7"/>
  <c r="AF138" i="7"/>
  <c r="AF139" i="7"/>
  <c r="AF140" i="7"/>
  <c r="AF141" i="7"/>
  <c r="AF142" i="7"/>
  <c r="AF143" i="7"/>
  <c r="AF144" i="7"/>
  <c r="AF145" i="7"/>
  <c r="AF146" i="7"/>
  <c r="AF147" i="7"/>
  <c r="AF148" i="7"/>
  <c r="AF149" i="7"/>
  <c r="AF150" i="7"/>
  <c r="AF151" i="7"/>
  <c r="AF152" i="7"/>
  <c r="AF153" i="7"/>
  <c r="AF154" i="7"/>
  <c r="AF155" i="7"/>
  <c r="AF156" i="7"/>
  <c r="AF157" i="7"/>
  <c r="AF158" i="7"/>
  <c r="AF159" i="7"/>
  <c r="AF160" i="7"/>
  <c r="AF161" i="7"/>
  <c r="AF162" i="7"/>
  <c r="AF163" i="7"/>
  <c r="AF164" i="7"/>
  <c r="AF165" i="7"/>
  <c r="AF166" i="7"/>
  <c r="AF167" i="7"/>
  <c r="AF168" i="7"/>
  <c r="AF169" i="7"/>
  <c r="AF170" i="7"/>
  <c r="AF171" i="7"/>
  <c r="AF172" i="7"/>
  <c r="AF173" i="7"/>
  <c r="AF174" i="7"/>
  <c r="AF175" i="7"/>
  <c r="AF176" i="7"/>
  <c r="AF177" i="7"/>
  <c r="AF178" i="7"/>
  <c r="AF179" i="7"/>
  <c r="AF180" i="7"/>
  <c r="AF181" i="7"/>
  <c r="AF182" i="7"/>
  <c r="AF183" i="7"/>
  <c r="AF184" i="7"/>
  <c r="AF185" i="7"/>
  <c r="AF186" i="7"/>
  <c r="AF187" i="7"/>
  <c r="AF188" i="7"/>
  <c r="AF189" i="7"/>
  <c r="AF190" i="7"/>
  <c r="AF191" i="7"/>
  <c r="AF192" i="7"/>
  <c r="AF193" i="7"/>
  <c r="AF194" i="7"/>
  <c r="AF195" i="7"/>
  <c r="AF196" i="7"/>
  <c r="AF197" i="7"/>
  <c r="AF198" i="7"/>
  <c r="AF199" i="7"/>
  <c r="AF200" i="7"/>
  <c r="AF201" i="7"/>
  <c r="AF202" i="7"/>
  <c r="AF203" i="7"/>
  <c r="AF204" i="7"/>
  <c r="AF205" i="7"/>
  <c r="AF206" i="7"/>
  <c r="AF207" i="7"/>
  <c r="AF208" i="7"/>
  <c r="AF209" i="7"/>
  <c r="AF210" i="7"/>
  <c r="AF211" i="7"/>
  <c r="AF212" i="7"/>
  <c r="AF213" i="7"/>
  <c r="AF214" i="7"/>
  <c r="AF215" i="7"/>
  <c r="AF216" i="7"/>
  <c r="AF217" i="7"/>
  <c r="AF5" i="7"/>
  <c r="AF6" i="7"/>
  <c r="AF7" i="7"/>
  <c r="AF8" i="7"/>
  <c r="AF9" i="7"/>
  <c r="AF10" i="7"/>
  <c r="AF4" i="7"/>
  <c r="J2" i="7"/>
  <c r="K2" i="7"/>
  <c r="L2" i="7"/>
  <c r="M2" i="7"/>
  <c r="N2" i="7"/>
  <c r="O2" i="7"/>
  <c r="P2" i="7"/>
  <c r="Q2" i="7"/>
  <c r="R2" i="7"/>
  <c r="S2" i="7"/>
  <c r="T2" i="7"/>
  <c r="U2" i="7"/>
  <c r="W2" i="7"/>
  <c r="X2" i="7"/>
  <c r="Y2" i="7"/>
  <c r="Z2" i="7"/>
  <c r="AB2" i="7"/>
  <c r="AC2" i="7"/>
  <c r="AD2" i="7"/>
  <c r="AE2" i="7"/>
  <c r="AG2" i="7"/>
  <c r="AH2" i="7"/>
  <c r="I2" i="7"/>
  <c r="N5" i="7"/>
  <c r="O5" i="7"/>
  <c r="P5" i="7"/>
  <c r="Q5" i="7"/>
  <c r="R5" i="7"/>
  <c r="S5" i="7"/>
  <c r="T5" i="7"/>
  <c r="U5" i="7"/>
  <c r="W5" i="7"/>
  <c r="X5" i="7"/>
  <c r="Y5" i="7"/>
  <c r="Z5" i="7"/>
  <c r="AB5" i="7"/>
  <c r="AC5" i="7"/>
  <c r="AD5" i="7"/>
  <c r="AG5" i="7"/>
  <c r="AH5" i="7"/>
  <c r="N6" i="7"/>
  <c r="O6" i="7"/>
  <c r="P6" i="7"/>
  <c r="Q6" i="7"/>
  <c r="R6" i="7"/>
  <c r="S6" i="7"/>
  <c r="T6" i="7"/>
  <c r="U6" i="7"/>
  <c r="W6" i="7"/>
  <c r="X6" i="7"/>
  <c r="Y6" i="7"/>
  <c r="Z6" i="7"/>
  <c r="AB6" i="7"/>
  <c r="AC6" i="7"/>
  <c r="AD6" i="7"/>
  <c r="AG6" i="7"/>
  <c r="AH6" i="7"/>
  <c r="N7" i="7"/>
  <c r="O7" i="7"/>
  <c r="P7" i="7"/>
  <c r="Q7" i="7"/>
  <c r="R7" i="7"/>
  <c r="S7" i="7"/>
  <c r="T7" i="7"/>
  <c r="U7" i="7"/>
  <c r="W7" i="7"/>
  <c r="X7" i="7"/>
  <c r="Y7" i="7"/>
  <c r="Z7" i="7"/>
  <c r="AB7" i="7"/>
  <c r="AC7" i="7"/>
  <c r="AD7" i="7"/>
  <c r="AG7" i="7"/>
  <c r="AH7" i="7"/>
  <c r="N8" i="7"/>
  <c r="O8" i="7"/>
  <c r="P8" i="7"/>
  <c r="Q8" i="7"/>
  <c r="R8" i="7"/>
  <c r="S8" i="7"/>
  <c r="T8" i="7"/>
  <c r="U8" i="7"/>
  <c r="W8" i="7"/>
  <c r="X8" i="7"/>
  <c r="Y8" i="7"/>
  <c r="Z8" i="7"/>
  <c r="AB8" i="7"/>
  <c r="AC8" i="7"/>
  <c r="AD8" i="7"/>
  <c r="AG8" i="7"/>
  <c r="AH8" i="7"/>
  <c r="N9" i="7"/>
  <c r="O9" i="7"/>
  <c r="P9" i="7"/>
  <c r="Q9" i="7"/>
  <c r="R9" i="7"/>
  <c r="S9" i="7"/>
  <c r="T9" i="7"/>
  <c r="U9" i="7"/>
  <c r="W9" i="7"/>
  <c r="X9" i="7"/>
  <c r="Y9" i="7"/>
  <c r="Z9" i="7"/>
  <c r="AB9" i="7"/>
  <c r="AC9" i="7"/>
  <c r="AD9" i="7"/>
  <c r="AG9" i="7"/>
  <c r="AH9" i="7"/>
  <c r="N10" i="7"/>
  <c r="O10" i="7"/>
  <c r="P10" i="7"/>
  <c r="Q10" i="7"/>
  <c r="R10" i="7"/>
  <c r="S10" i="7"/>
  <c r="T10" i="7"/>
  <c r="U10" i="7"/>
  <c r="W10" i="7"/>
  <c r="X10" i="7"/>
  <c r="Y10" i="7"/>
  <c r="Z10" i="7"/>
  <c r="AB10" i="7"/>
  <c r="AC10" i="7"/>
  <c r="AD10" i="7"/>
  <c r="AG10" i="7"/>
  <c r="AH10" i="7"/>
  <c r="N11" i="7"/>
  <c r="O11" i="7"/>
  <c r="P11" i="7"/>
  <c r="Q11" i="7"/>
  <c r="R11" i="7"/>
  <c r="S11" i="7"/>
  <c r="T11" i="7"/>
  <c r="U11" i="7"/>
  <c r="W11" i="7"/>
  <c r="X11" i="7"/>
  <c r="Y11" i="7"/>
  <c r="Z11" i="7"/>
  <c r="AB11" i="7"/>
  <c r="AC11" i="7"/>
  <c r="AD11" i="7"/>
  <c r="AG11" i="7"/>
  <c r="AH11" i="7"/>
  <c r="N12" i="7"/>
  <c r="O12" i="7"/>
  <c r="P12" i="7"/>
  <c r="Q12" i="7"/>
  <c r="R12" i="7"/>
  <c r="S12" i="7"/>
  <c r="T12" i="7"/>
  <c r="U12" i="7"/>
  <c r="W12" i="7"/>
  <c r="X12" i="7"/>
  <c r="Y12" i="7"/>
  <c r="Z12" i="7"/>
  <c r="AB12" i="7"/>
  <c r="AC12" i="7"/>
  <c r="AD12" i="7"/>
  <c r="AG12" i="7"/>
  <c r="AH12" i="7"/>
  <c r="N13" i="7"/>
  <c r="O13" i="7"/>
  <c r="P13" i="7"/>
  <c r="Q13" i="7"/>
  <c r="R13" i="7"/>
  <c r="S13" i="7"/>
  <c r="T13" i="7"/>
  <c r="U13" i="7"/>
  <c r="W13" i="7"/>
  <c r="X13" i="7"/>
  <c r="Y13" i="7"/>
  <c r="Z13" i="7"/>
  <c r="AB13" i="7"/>
  <c r="AC13" i="7"/>
  <c r="AD13" i="7"/>
  <c r="AG13" i="7"/>
  <c r="AH13" i="7"/>
  <c r="N14" i="7"/>
  <c r="O14" i="7"/>
  <c r="P14" i="7"/>
  <c r="Q14" i="7"/>
  <c r="R14" i="7"/>
  <c r="S14" i="7"/>
  <c r="T14" i="7"/>
  <c r="U14" i="7"/>
  <c r="W14" i="7"/>
  <c r="X14" i="7"/>
  <c r="Y14" i="7"/>
  <c r="Z14" i="7"/>
  <c r="AB14" i="7"/>
  <c r="AC14" i="7"/>
  <c r="AD14" i="7"/>
  <c r="AG14" i="7"/>
  <c r="AH14" i="7"/>
  <c r="N15" i="7"/>
  <c r="O15" i="7"/>
  <c r="P15" i="7"/>
  <c r="Q15" i="7"/>
  <c r="R15" i="7"/>
  <c r="S15" i="7"/>
  <c r="T15" i="7"/>
  <c r="U15" i="7"/>
  <c r="W15" i="7"/>
  <c r="X15" i="7"/>
  <c r="Y15" i="7"/>
  <c r="Z15" i="7"/>
  <c r="AB15" i="7"/>
  <c r="AC15" i="7"/>
  <c r="AD15" i="7"/>
  <c r="AG15" i="7"/>
  <c r="AH15" i="7"/>
  <c r="N16" i="7"/>
  <c r="O16" i="7"/>
  <c r="P16" i="7"/>
  <c r="Q16" i="7"/>
  <c r="R16" i="7"/>
  <c r="S16" i="7"/>
  <c r="T16" i="7"/>
  <c r="U16" i="7"/>
  <c r="W16" i="7"/>
  <c r="X16" i="7"/>
  <c r="Y16" i="7"/>
  <c r="Z16" i="7"/>
  <c r="AB16" i="7"/>
  <c r="AC16" i="7"/>
  <c r="AD16" i="7"/>
  <c r="AG16" i="7"/>
  <c r="AH16" i="7"/>
  <c r="N17" i="7"/>
  <c r="O17" i="7"/>
  <c r="P17" i="7"/>
  <c r="Q17" i="7"/>
  <c r="R17" i="7"/>
  <c r="S17" i="7"/>
  <c r="T17" i="7"/>
  <c r="U17" i="7"/>
  <c r="W17" i="7"/>
  <c r="X17" i="7"/>
  <c r="Y17" i="7"/>
  <c r="Z17" i="7"/>
  <c r="AB17" i="7"/>
  <c r="AC17" i="7"/>
  <c r="AD17" i="7"/>
  <c r="AG17" i="7"/>
  <c r="AH17" i="7"/>
  <c r="N18" i="7"/>
  <c r="O18" i="7"/>
  <c r="P18" i="7"/>
  <c r="Q18" i="7"/>
  <c r="R18" i="7"/>
  <c r="S18" i="7"/>
  <c r="T18" i="7"/>
  <c r="U18" i="7"/>
  <c r="W18" i="7"/>
  <c r="X18" i="7"/>
  <c r="Y18" i="7"/>
  <c r="Z18" i="7"/>
  <c r="AB18" i="7"/>
  <c r="AC18" i="7"/>
  <c r="AD18" i="7"/>
  <c r="AG18" i="7"/>
  <c r="AH18" i="7"/>
  <c r="N19" i="7"/>
  <c r="O19" i="7"/>
  <c r="P19" i="7"/>
  <c r="Q19" i="7"/>
  <c r="R19" i="7"/>
  <c r="S19" i="7"/>
  <c r="T19" i="7"/>
  <c r="U19" i="7"/>
  <c r="W19" i="7"/>
  <c r="X19" i="7"/>
  <c r="Y19" i="7"/>
  <c r="Z19" i="7"/>
  <c r="AB19" i="7"/>
  <c r="AC19" i="7"/>
  <c r="AD19" i="7"/>
  <c r="AG19" i="7"/>
  <c r="AH19" i="7"/>
  <c r="N20" i="7"/>
  <c r="O20" i="7"/>
  <c r="P20" i="7"/>
  <c r="Q20" i="7"/>
  <c r="R20" i="7"/>
  <c r="S20" i="7"/>
  <c r="T20" i="7"/>
  <c r="U20" i="7"/>
  <c r="W20" i="7"/>
  <c r="X20" i="7"/>
  <c r="Y20" i="7"/>
  <c r="Z20" i="7"/>
  <c r="AB20" i="7"/>
  <c r="AC20" i="7"/>
  <c r="AD20" i="7"/>
  <c r="AG20" i="7"/>
  <c r="AH20" i="7"/>
  <c r="N21" i="7"/>
  <c r="O21" i="7"/>
  <c r="P21" i="7"/>
  <c r="Q21" i="7"/>
  <c r="R21" i="7"/>
  <c r="S21" i="7"/>
  <c r="T21" i="7"/>
  <c r="U21" i="7"/>
  <c r="W21" i="7"/>
  <c r="X21" i="7"/>
  <c r="Y21" i="7"/>
  <c r="Z21" i="7"/>
  <c r="AB21" i="7"/>
  <c r="AC21" i="7"/>
  <c r="AD21" i="7"/>
  <c r="AG21" i="7"/>
  <c r="AH21" i="7"/>
  <c r="N22" i="7"/>
  <c r="O22" i="7"/>
  <c r="P22" i="7"/>
  <c r="Q22" i="7"/>
  <c r="R22" i="7"/>
  <c r="S22" i="7"/>
  <c r="T22" i="7"/>
  <c r="U22" i="7"/>
  <c r="W22" i="7"/>
  <c r="X22" i="7"/>
  <c r="Y22" i="7"/>
  <c r="Z22" i="7"/>
  <c r="AB22" i="7"/>
  <c r="AC22" i="7"/>
  <c r="AD22" i="7"/>
  <c r="AG22" i="7"/>
  <c r="AH22" i="7"/>
  <c r="N23" i="7"/>
  <c r="O23" i="7"/>
  <c r="P23" i="7"/>
  <c r="Q23" i="7"/>
  <c r="R23" i="7"/>
  <c r="S23" i="7"/>
  <c r="T23" i="7"/>
  <c r="U23" i="7"/>
  <c r="W23" i="7"/>
  <c r="X23" i="7"/>
  <c r="Y23" i="7"/>
  <c r="Z23" i="7"/>
  <c r="AB23" i="7"/>
  <c r="AC23" i="7"/>
  <c r="AD23" i="7"/>
  <c r="AG23" i="7"/>
  <c r="AH23" i="7"/>
  <c r="N24" i="7"/>
  <c r="O24" i="7"/>
  <c r="P24" i="7"/>
  <c r="Q24" i="7"/>
  <c r="R24" i="7"/>
  <c r="S24" i="7"/>
  <c r="T24" i="7"/>
  <c r="U24" i="7"/>
  <c r="W24" i="7"/>
  <c r="X24" i="7"/>
  <c r="Y24" i="7"/>
  <c r="Z24" i="7"/>
  <c r="AB24" i="7"/>
  <c r="AC24" i="7"/>
  <c r="AD24" i="7"/>
  <c r="AG24" i="7"/>
  <c r="AH24" i="7"/>
  <c r="N25" i="7"/>
  <c r="O25" i="7"/>
  <c r="P25" i="7"/>
  <c r="Q25" i="7"/>
  <c r="R25" i="7"/>
  <c r="S25" i="7"/>
  <c r="T25" i="7"/>
  <c r="U25" i="7"/>
  <c r="W25" i="7"/>
  <c r="X25" i="7"/>
  <c r="Y25" i="7"/>
  <c r="Z25" i="7"/>
  <c r="AB25" i="7"/>
  <c r="AC25" i="7"/>
  <c r="AD25" i="7"/>
  <c r="AG25" i="7"/>
  <c r="AH25" i="7"/>
  <c r="N26" i="7"/>
  <c r="O26" i="7"/>
  <c r="P26" i="7"/>
  <c r="Q26" i="7"/>
  <c r="R26" i="7"/>
  <c r="S26" i="7"/>
  <c r="T26" i="7"/>
  <c r="U26" i="7"/>
  <c r="W26" i="7"/>
  <c r="X26" i="7"/>
  <c r="Y26" i="7"/>
  <c r="Z26" i="7"/>
  <c r="AB26" i="7"/>
  <c r="AC26" i="7"/>
  <c r="AD26" i="7"/>
  <c r="AG26" i="7"/>
  <c r="AH26" i="7"/>
  <c r="N27" i="7"/>
  <c r="O27" i="7"/>
  <c r="P27" i="7"/>
  <c r="Q27" i="7"/>
  <c r="R27" i="7"/>
  <c r="S27" i="7"/>
  <c r="T27" i="7"/>
  <c r="U27" i="7"/>
  <c r="W27" i="7"/>
  <c r="X27" i="7"/>
  <c r="Y27" i="7"/>
  <c r="Z27" i="7"/>
  <c r="AB27" i="7"/>
  <c r="AC27" i="7"/>
  <c r="AD27" i="7"/>
  <c r="AG27" i="7"/>
  <c r="AH27" i="7"/>
  <c r="N28" i="7"/>
  <c r="O28" i="7"/>
  <c r="P28" i="7"/>
  <c r="Q28" i="7"/>
  <c r="R28" i="7"/>
  <c r="S28" i="7"/>
  <c r="T28" i="7"/>
  <c r="U28" i="7"/>
  <c r="W28" i="7"/>
  <c r="X28" i="7"/>
  <c r="Y28" i="7"/>
  <c r="Z28" i="7"/>
  <c r="AB28" i="7"/>
  <c r="AC28" i="7"/>
  <c r="AD28" i="7"/>
  <c r="AG28" i="7"/>
  <c r="AH28" i="7"/>
  <c r="N29" i="7"/>
  <c r="O29" i="7"/>
  <c r="P29" i="7"/>
  <c r="Q29" i="7"/>
  <c r="R29" i="7"/>
  <c r="S29" i="7"/>
  <c r="T29" i="7"/>
  <c r="U29" i="7"/>
  <c r="W29" i="7"/>
  <c r="X29" i="7"/>
  <c r="Y29" i="7"/>
  <c r="Z29" i="7"/>
  <c r="AB29" i="7"/>
  <c r="AC29" i="7"/>
  <c r="AD29" i="7"/>
  <c r="AG29" i="7"/>
  <c r="AH29" i="7"/>
  <c r="N30" i="7"/>
  <c r="O30" i="7"/>
  <c r="P30" i="7"/>
  <c r="Q30" i="7"/>
  <c r="R30" i="7"/>
  <c r="S30" i="7"/>
  <c r="T30" i="7"/>
  <c r="U30" i="7"/>
  <c r="W30" i="7"/>
  <c r="X30" i="7"/>
  <c r="Y30" i="7"/>
  <c r="Z30" i="7"/>
  <c r="AB30" i="7"/>
  <c r="AC30" i="7"/>
  <c r="AD30" i="7"/>
  <c r="AG30" i="7"/>
  <c r="AH30" i="7"/>
  <c r="N31" i="7"/>
  <c r="O31" i="7"/>
  <c r="P31" i="7"/>
  <c r="Q31" i="7"/>
  <c r="R31" i="7"/>
  <c r="S31" i="7"/>
  <c r="T31" i="7"/>
  <c r="U31" i="7"/>
  <c r="W31" i="7"/>
  <c r="X31" i="7"/>
  <c r="Y31" i="7"/>
  <c r="Z31" i="7"/>
  <c r="AB31" i="7"/>
  <c r="AC31" i="7"/>
  <c r="AD31" i="7"/>
  <c r="AG31" i="7"/>
  <c r="AH31" i="7"/>
  <c r="N32" i="7"/>
  <c r="O32" i="7"/>
  <c r="P32" i="7"/>
  <c r="Q32" i="7"/>
  <c r="R32" i="7"/>
  <c r="S32" i="7"/>
  <c r="T32" i="7"/>
  <c r="U32" i="7"/>
  <c r="W32" i="7"/>
  <c r="X32" i="7"/>
  <c r="Y32" i="7"/>
  <c r="Z32" i="7"/>
  <c r="AB32" i="7"/>
  <c r="AC32" i="7"/>
  <c r="AD32" i="7"/>
  <c r="AG32" i="7"/>
  <c r="AH32" i="7"/>
  <c r="N33" i="7"/>
  <c r="O33" i="7"/>
  <c r="P33" i="7"/>
  <c r="Q33" i="7"/>
  <c r="R33" i="7"/>
  <c r="S33" i="7"/>
  <c r="T33" i="7"/>
  <c r="U33" i="7"/>
  <c r="W33" i="7"/>
  <c r="X33" i="7"/>
  <c r="Y33" i="7"/>
  <c r="Z33" i="7"/>
  <c r="AB33" i="7"/>
  <c r="AC33" i="7"/>
  <c r="AD33" i="7"/>
  <c r="AG33" i="7"/>
  <c r="AH33" i="7"/>
  <c r="N34" i="7"/>
  <c r="O34" i="7"/>
  <c r="P34" i="7"/>
  <c r="Q34" i="7"/>
  <c r="R34" i="7"/>
  <c r="S34" i="7"/>
  <c r="T34" i="7"/>
  <c r="U34" i="7"/>
  <c r="W34" i="7"/>
  <c r="X34" i="7"/>
  <c r="Y34" i="7"/>
  <c r="Z34" i="7"/>
  <c r="AB34" i="7"/>
  <c r="AC34" i="7"/>
  <c r="AD34" i="7"/>
  <c r="AG34" i="7"/>
  <c r="AH34" i="7"/>
  <c r="N35" i="7"/>
  <c r="O35" i="7"/>
  <c r="P35" i="7"/>
  <c r="Q35" i="7"/>
  <c r="R35" i="7"/>
  <c r="S35" i="7"/>
  <c r="T35" i="7"/>
  <c r="U35" i="7"/>
  <c r="W35" i="7"/>
  <c r="X35" i="7"/>
  <c r="Y35" i="7"/>
  <c r="Z35" i="7"/>
  <c r="AB35" i="7"/>
  <c r="AC35" i="7"/>
  <c r="AD35" i="7"/>
  <c r="AG35" i="7"/>
  <c r="AH35" i="7"/>
  <c r="N36" i="7"/>
  <c r="O36" i="7"/>
  <c r="P36" i="7"/>
  <c r="Q36" i="7"/>
  <c r="R36" i="7"/>
  <c r="S36" i="7"/>
  <c r="T36" i="7"/>
  <c r="U36" i="7"/>
  <c r="W36" i="7"/>
  <c r="X36" i="7"/>
  <c r="Y36" i="7"/>
  <c r="Z36" i="7"/>
  <c r="AB36" i="7"/>
  <c r="AC36" i="7"/>
  <c r="AD36" i="7"/>
  <c r="AG36" i="7"/>
  <c r="AH36" i="7"/>
  <c r="N37" i="7"/>
  <c r="O37" i="7"/>
  <c r="P37" i="7"/>
  <c r="Q37" i="7"/>
  <c r="R37" i="7"/>
  <c r="S37" i="7"/>
  <c r="T37" i="7"/>
  <c r="U37" i="7"/>
  <c r="W37" i="7"/>
  <c r="X37" i="7"/>
  <c r="Y37" i="7"/>
  <c r="Z37" i="7"/>
  <c r="AB37" i="7"/>
  <c r="AC37" i="7"/>
  <c r="AD37" i="7"/>
  <c r="AG37" i="7"/>
  <c r="AH37" i="7"/>
  <c r="N38" i="7"/>
  <c r="O38" i="7"/>
  <c r="P38" i="7"/>
  <c r="Q38" i="7"/>
  <c r="R38" i="7"/>
  <c r="S38" i="7"/>
  <c r="T38" i="7"/>
  <c r="U38" i="7"/>
  <c r="W38" i="7"/>
  <c r="X38" i="7"/>
  <c r="Y38" i="7"/>
  <c r="Z38" i="7"/>
  <c r="AB38" i="7"/>
  <c r="AC38" i="7"/>
  <c r="AD38" i="7"/>
  <c r="AG38" i="7"/>
  <c r="AH38" i="7"/>
  <c r="N39" i="7"/>
  <c r="O39" i="7"/>
  <c r="P39" i="7"/>
  <c r="Q39" i="7"/>
  <c r="R39" i="7"/>
  <c r="S39" i="7"/>
  <c r="T39" i="7"/>
  <c r="U39" i="7"/>
  <c r="W39" i="7"/>
  <c r="X39" i="7"/>
  <c r="Y39" i="7"/>
  <c r="Z39" i="7"/>
  <c r="AB39" i="7"/>
  <c r="AC39" i="7"/>
  <c r="AD39" i="7"/>
  <c r="AG39" i="7"/>
  <c r="AH39" i="7"/>
  <c r="N40" i="7"/>
  <c r="O40" i="7"/>
  <c r="P40" i="7"/>
  <c r="Q40" i="7"/>
  <c r="R40" i="7"/>
  <c r="S40" i="7"/>
  <c r="T40" i="7"/>
  <c r="U40" i="7"/>
  <c r="W40" i="7"/>
  <c r="X40" i="7"/>
  <c r="Y40" i="7"/>
  <c r="Z40" i="7"/>
  <c r="AB40" i="7"/>
  <c r="AC40" i="7"/>
  <c r="AD40" i="7"/>
  <c r="AG40" i="7"/>
  <c r="AH40" i="7"/>
  <c r="N41" i="7"/>
  <c r="O41" i="7"/>
  <c r="P41" i="7"/>
  <c r="Q41" i="7"/>
  <c r="R41" i="7"/>
  <c r="S41" i="7"/>
  <c r="T41" i="7"/>
  <c r="U41" i="7"/>
  <c r="W41" i="7"/>
  <c r="X41" i="7"/>
  <c r="Y41" i="7"/>
  <c r="Z41" i="7"/>
  <c r="AB41" i="7"/>
  <c r="AC41" i="7"/>
  <c r="AD41" i="7"/>
  <c r="AG41" i="7"/>
  <c r="AH41" i="7"/>
  <c r="N42" i="7"/>
  <c r="O42" i="7"/>
  <c r="P42" i="7"/>
  <c r="Q42" i="7"/>
  <c r="R42" i="7"/>
  <c r="S42" i="7"/>
  <c r="T42" i="7"/>
  <c r="U42" i="7"/>
  <c r="W42" i="7"/>
  <c r="X42" i="7"/>
  <c r="Y42" i="7"/>
  <c r="Z42" i="7"/>
  <c r="AB42" i="7"/>
  <c r="AC42" i="7"/>
  <c r="AD42" i="7"/>
  <c r="AG42" i="7"/>
  <c r="AH42" i="7"/>
  <c r="N43" i="7"/>
  <c r="O43" i="7"/>
  <c r="P43" i="7"/>
  <c r="Q43" i="7"/>
  <c r="R43" i="7"/>
  <c r="S43" i="7"/>
  <c r="T43" i="7"/>
  <c r="U43" i="7"/>
  <c r="W43" i="7"/>
  <c r="X43" i="7"/>
  <c r="Y43" i="7"/>
  <c r="Z43" i="7"/>
  <c r="AB43" i="7"/>
  <c r="AC43" i="7"/>
  <c r="AD43" i="7"/>
  <c r="AG43" i="7"/>
  <c r="AH43" i="7"/>
  <c r="N44" i="7"/>
  <c r="O44" i="7"/>
  <c r="P44" i="7"/>
  <c r="Q44" i="7"/>
  <c r="R44" i="7"/>
  <c r="S44" i="7"/>
  <c r="T44" i="7"/>
  <c r="U44" i="7"/>
  <c r="W44" i="7"/>
  <c r="X44" i="7"/>
  <c r="Y44" i="7"/>
  <c r="Z44" i="7"/>
  <c r="AB44" i="7"/>
  <c r="AC44" i="7"/>
  <c r="AD44" i="7"/>
  <c r="AG44" i="7"/>
  <c r="AH44" i="7"/>
  <c r="N45" i="7"/>
  <c r="O45" i="7"/>
  <c r="P45" i="7"/>
  <c r="Q45" i="7"/>
  <c r="R45" i="7"/>
  <c r="S45" i="7"/>
  <c r="T45" i="7"/>
  <c r="U45" i="7"/>
  <c r="W45" i="7"/>
  <c r="X45" i="7"/>
  <c r="Y45" i="7"/>
  <c r="Z45" i="7"/>
  <c r="AB45" i="7"/>
  <c r="AC45" i="7"/>
  <c r="AD45" i="7"/>
  <c r="AG45" i="7"/>
  <c r="AH45" i="7"/>
  <c r="N46" i="7"/>
  <c r="O46" i="7"/>
  <c r="P46" i="7"/>
  <c r="Q46" i="7"/>
  <c r="R46" i="7"/>
  <c r="S46" i="7"/>
  <c r="T46" i="7"/>
  <c r="U46" i="7"/>
  <c r="W46" i="7"/>
  <c r="X46" i="7"/>
  <c r="Y46" i="7"/>
  <c r="Z46" i="7"/>
  <c r="AB46" i="7"/>
  <c r="AC46" i="7"/>
  <c r="AD46" i="7"/>
  <c r="AG46" i="7"/>
  <c r="AH46" i="7"/>
  <c r="N47" i="7"/>
  <c r="O47" i="7"/>
  <c r="P47" i="7"/>
  <c r="Q47" i="7"/>
  <c r="R47" i="7"/>
  <c r="S47" i="7"/>
  <c r="T47" i="7"/>
  <c r="U47" i="7"/>
  <c r="W47" i="7"/>
  <c r="X47" i="7"/>
  <c r="Y47" i="7"/>
  <c r="Z47" i="7"/>
  <c r="AB47" i="7"/>
  <c r="AC47" i="7"/>
  <c r="AD47" i="7"/>
  <c r="AG47" i="7"/>
  <c r="AH47" i="7"/>
  <c r="N48" i="7"/>
  <c r="O48" i="7"/>
  <c r="P48" i="7"/>
  <c r="Q48" i="7"/>
  <c r="R48" i="7"/>
  <c r="S48" i="7"/>
  <c r="T48" i="7"/>
  <c r="U48" i="7"/>
  <c r="W48" i="7"/>
  <c r="X48" i="7"/>
  <c r="Y48" i="7"/>
  <c r="Z48" i="7"/>
  <c r="AB48" i="7"/>
  <c r="AC48" i="7"/>
  <c r="AD48" i="7"/>
  <c r="AG48" i="7"/>
  <c r="AH48" i="7"/>
  <c r="N49" i="7"/>
  <c r="O49" i="7"/>
  <c r="P49" i="7"/>
  <c r="Q49" i="7"/>
  <c r="R49" i="7"/>
  <c r="S49" i="7"/>
  <c r="T49" i="7"/>
  <c r="U49" i="7"/>
  <c r="W49" i="7"/>
  <c r="X49" i="7"/>
  <c r="Y49" i="7"/>
  <c r="Z49" i="7"/>
  <c r="AB49" i="7"/>
  <c r="AC49" i="7"/>
  <c r="AD49" i="7"/>
  <c r="AG49" i="7"/>
  <c r="AH49" i="7"/>
  <c r="N50" i="7"/>
  <c r="O50" i="7"/>
  <c r="P50" i="7"/>
  <c r="Q50" i="7"/>
  <c r="R50" i="7"/>
  <c r="S50" i="7"/>
  <c r="T50" i="7"/>
  <c r="U50" i="7"/>
  <c r="W50" i="7"/>
  <c r="X50" i="7"/>
  <c r="Y50" i="7"/>
  <c r="Z50" i="7"/>
  <c r="AB50" i="7"/>
  <c r="AC50" i="7"/>
  <c r="AD50" i="7"/>
  <c r="AG50" i="7"/>
  <c r="AH50" i="7"/>
  <c r="N51" i="7"/>
  <c r="O51" i="7"/>
  <c r="P51" i="7"/>
  <c r="Q51" i="7"/>
  <c r="R51" i="7"/>
  <c r="S51" i="7"/>
  <c r="T51" i="7"/>
  <c r="U51" i="7"/>
  <c r="W51" i="7"/>
  <c r="X51" i="7"/>
  <c r="Y51" i="7"/>
  <c r="Z51" i="7"/>
  <c r="AB51" i="7"/>
  <c r="AC51" i="7"/>
  <c r="AD51" i="7"/>
  <c r="AG51" i="7"/>
  <c r="AH51" i="7"/>
  <c r="N52" i="7"/>
  <c r="O52" i="7"/>
  <c r="P52" i="7"/>
  <c r="Q52" i="7"/>
  <c r="R52" i="7"/>
  <c r="S52" i="7"/>
  <c r="T52" i="7"/>
  <c r="U52" i="7"/>
  <c r="W52" i="7"/>
  <c r="X52" i="7"/>
  <c r="Y52" i="7"/>
  <c r="Z52" i="7"/>
  <c r="AB52" i="7"/>
  <c r="AC52" i="7"/>
  <c r="AD52" i="7"/>
  <c r="AG52" i="7"/>
  <c r="AH52" i="7"/>
  <c r="N53" i="7"/>
  <c r="O53" i="7"/>
  <c r="P53" i="7"/>
  <c r="Q53" i="7"/>
  <c r="R53" i="7"/>
  <c r="S53" i="7"/>
  <c r="T53" i="7"/>
  <c r="U53" i="7"/>
  <c r="W53" i="7"/>
  <c r="X53" i="7"/>
  <c r="Y53" i="7"/>
  <c r="Z53" i="7"/>
  <c r="AB53" i="7"/>
  <c r="AC53" i="7"/>
  <c r="AD53" i="7"/>
  <c r="AG53" i="7"/>
  <c r="AH53" i="7"/>
  <c r="N54" i="7"/>
  <c r="O54" i="7"/>
  <c r="P54" i="7"/>
  <c r="Q54" i="7"/>
  <c r="R54" i="7"/>
  <c r="S54" i="7"/>
  <c r="T54" i="7"/>
  <c r="U54" i="7"/>
  <c r="W54" i="7"/>
  <c r="X54" i="7"/>
  <c r="Y54" i="7"/>
  <c r="Z54" i="7"/>
  <c r="AB54" i="7"/>
  <c r="AC54" i="7"/>
  <c r="AD54" i="7"/>
  <c r="AG54" i="7"/>
  <c r="AH54" i="7"/>
  <c r="N55" i="7"/>
  <c r="O55" i="7"/>
  <c r="P55" i="7"/>
  <c r="Q55" i="7"/>
  <c r="R55" i="7"/>
  <c r="S55" i="7"/>
  <c r="T55" i="7"/>
  <c r="U55" i="7"/>
  <c r="W55" i="7"/>
  <c r="X55" i="7"/>
  <c r="Y55" i="7"/>
  <c r="Z55" i="7"/>
  <c r="AB55" i="7"/>
  <c r="AC55" i="7"/>
  <c r="AD55" i="7"/>
  <c r="AG55" i="7"/>
  <c r="AH55" i="7"/>
  <c r="N56" i="7"/>
  <c r="O56" i="7"/>
  <c r="P56" i="7"/>
  <c r="Q56" i="7"/>
  <c r="R56" i="7"/>
  <c r="S56" i="7"/>
  <c r="T56" i="7"/>
  <c r="U56" i="7"/>
  <c r="W56" i="7"/>
  <c r="X56" i="7"/>
  <c r="Y56" i="7"/>
  <c r="Z56" i="7"/>
  <c r="AB56" i="7"/>
  <c r="AC56" i="7"/>
  <c r="AD56" i="7"/>
  <c r="AG56" i="7"/>
  <c r="AH56" i="7"/>
  <c r="N57" i="7"/>
  <c r="O57" i="7"/>
  <c r="P57" i="7"/>
  <c r="Q57" i="7"/>
  <c r="R57" i="7"/>
  <c r="S57" i="7"/>
  <c r="T57" i="7"/>
  <c r="U57" i="7"/>
  <c r="W57" i="7"/>
  <c r="X57" i="7"/>
  <c r="Y57" i="7"/>
  <c r="Z57" i="7"/>
  <c r="AB57" i="7"/>
  <c r="AC57" i="7"/>
  <c r="AD57" i="7"/>
  <c r="AG57" i="7"/>
  <c r="AH57" i="7"/>
  <c r="N58" i="7"/>
  <c r="O58" i="7"/>
  <c r="P58" i="7"/>
  <c r="Q58" i="7"/>
  <c r="R58" i="7"/>
  <c r="S58" i="7"/>
  <c r="T58" i="7"/>
  <c r="U58" i="7"/>
  <c r="W58" i="7"/>
  <c r="X58" i="7"/>
  <c r="Y58" i="7"/>
  <c r="Z58" i="7"/>
  <c r="AB58" i="7"/>
  <c r="AC58" i="7"/>
  <c r="AD58" i="7"/>
  <c r="AG58" i="7"/>
  <c r="AH58" i="7"/>
  <c r="N59" i="7"/>
  <c r="O59" i="7"/>
  <c r="P59" i="7"/>
  <c r="Q59" i="7"/>
  <c r="R59" i="7"/>
  <c r="S59" i="7"/>
  <c r="T59" i="7"/>
  <c r="U59" i="7"/>
  <c r="W59" i="7"/>
  <c r="X59" i="7"/>
  <c r="Y59" i="7"/>
  <c r="Z59" i="7"/>
  <c r="AB59" i="7"/>
  <c r="AC59" i="7"/>
  <c r="AD59" i="7"/>
  <c r="AG59" i="7"/>
  <c r="AH59" i="7"/>
  <c r="N60" i="7"/>
  <c r="O60" i="7"/>
  <c r="P60" i="7"/>
  <c r="Q60" i="7"/>
  <c r="R60" i="7"/>
  <c r="S60" i="7"/>
  <c r="T60" i="7"/>
  <c r="U60" i="7"/>
  <c r="W60" i="7"/>
  <c r="X60" i="7"/>
  <c r="Y60" i="7"/>
  <c r="Z60" i="7"/>
  <c r="AB60" i="7"/>
  <c r="AC60" i="7"/>
  <c r="AD60" i="7"/>
  <c r="AG60" i="7"/>
  <c r="AH60" i="7"/>
  <c r="N61" i="7"/>
  <c r="O61" i="7"/>
  <c r="P61" i="7"/>
  <c r="Q61" i="7"/>
  <c r="R61" i="7"/>
  <c r="S61" i="7"/>
  <c r="T61" i="7"/>
  <c r="U61" i="7"/>
  <c r="W61" i="7"/>
  <c r="X61" i="7"/>
  <c r="Y61" i="7"/>
  <c r="Z61" i="7"/>
  <c r="AB61" i="7"/>
  <c r="AC61" i="7"/>
  <c r="AD61" i="7"/>
  <c r="AG61" i="7"/>
  <c r="AH61" i="7"/>
  <c r="N62" i="7"/>
  <c r="O62" i="7"/>
  <c r="P62" i="7"/>
  <c r="Q62" i="7"/>
  <c r="R62" i="7"/>
  <c r="S62" i="7"/>
  <c r="T62" i="7"/>
  <c r="U62" i="7"/>
  <c r="W62" i="7"/>
  <c r="X62" i="7"/>
  <c r="Y62" i="7"/>
  <c r="Z62" i="7"/>
  <c r="AB62" i="7"/>
  <c r="AC62" i="7"/>
  <c r="AD62" i="7"/>
  <c r="AG62" i="7"/>
  <c r="AH62" i="7"/>
  <c r="N63" i="7"/>
  <c r="O63" i="7"/>
  <c r="P63" i="7"/>
  <c r="Q63" i="7"/>
  <c r="R63" i="7"/>
  <c r="S63" i="7"/>
  <c r="T63" i="7"/>
  <c r="U63" i="7"/>
  <c r="W63" i="7"/>
  <c r="X63" i="7"/>
  <c r="Y63" i="7"/>
  <c r="Z63" i="7"/>
  <c r="AB63" i="7"/>
  <c r="AC63" i="7"/>
  <c r="AD63" i="7"/>
  <c r="AG63" i="7"/>
  <c r="AH63" i="7"/>
  <c r="N64" i="7"/>
  <c r="O64" i="7"/>
  <c r="P64" i="7"/>
  <c r="Q64" i="7"/>
  <c r="R64" i="7"/>
  <c r="S64" i="7"/>
  <c r="T64" i="7"/>
  <c r="U64" i="7"/>
  <c r="W64" i="7"/>
  <c r="X64" i="7"/>
  <c r="Y64" i="7"/>
  <c r="Z64" i="7"/>
  <c r="AB64" i="7"/>
  <c r="AC64" i="7"/>
  <c r="AD64" i="7"/>
  <c r="AG64" i="7"/>
  <c r="AH64" i="7"/>
  <c r="N65" i="7"/>
  <c r="O65" i="7"/>
  <c r="P65" i="7"/>
  <c r="Q65" i="7"/>
  <c r="R65" i="7"/>
  <c r="S65" i="7"/>
  <c r="T65" i="7"/>
  <c r="U65" i="7"/>
  <c r="W65" i="7"/>
  <c r="X65" i="7"/>
  <c r="Y65" i="7"/>
  <c r="Z65" i="7"/>
  <c r="AB65" i="7"/>
  <c r="AC65" i="7"/>
  <c r="AD65" i="7"/>
  <c r="AG65" i="7"/>
  <c r="AH65" i="7"/>
  <c r="N66" i="7"/>
  <c r="O66" i="7"/>
  <c r="P66" i="7"/>
  <c r="Q66" i="7"/>
  <c r="R66" i="7"/>
  <c r="S66" i="7"/>
  <c r="T66" i="7"/>
  <c r="U66" i="7"/>
  <c r="W66" i="7"/>
  <c r="X66" i="7"/>
  <c r="Y66" i="7"/>
  <c r="Z66" i="7"/>
  <c r="AB66" i="7"/>
  <c r="AC66" i="7"/>
  <c r="AD66" i="7"/>
  <c r="AG66" i="7"/>
  <c r="AH66" i="7"/>
  <c r="N67" i="7"/>
  <c r="O67" i="7"/>
  <c r="P67" i="7"/>
  <c r="Q67" i="7"/>
  <c r="R67" i="7"/>
  <c r="S67" i="7"/>
  <c r="T67" i="7"/>
  <c r="U67" i="7"/>
  <c r="W67" i="7"/>
  <c r="X67" i="7"/>
  <c r="Y67" i="7"/>
  <c r="Z67" i="7"/>
  <c r="AB67" i="7"/>
  <c r="AC67" i="7"/>
  <c r="AD67" i="7"/>
  <c r="AG67" i="7"/>
  <c r="AH67" i="7"/>
  <c r="N68" i="7"/>
  <c r="O68" i="7"/>
  <c r="P68" i="7"/>
  <c r="Q68" i="7"/>
  <c r="R68" i="7"/>
  <c r="S68" i="7"/>
  <c r="T68" i="7"/>
  <c r="U68" i="7"/>
  <c r="W68" i="7"/>
  <c r="X68" i="7"/>
  <c r="Y68" i="7"/>
  <c r="Z68" i="7"/>
  <c r="AB68" i="7"/>
  <c r="AC68" i="7"/>
  <c r="AD68" i="7"/>
  <c r="AG68" i="7"/>
  <c r="AH68" i="7"/>
  <c r="N69" i="7"/>
  <c r="O69" i="7"/>
  <c r="P69" i="7"/>
  <c r="Q69" i="7"/>
  <c r="R69" i="7"/>
  <c r="S69" i="7"/>
  <c r="T69" i="7"/>
  <c r="U69" i="7"/>
  <c r="W69" i="7"/>
  <c r="X69" i="7"/>
  <c r="Y69" i="7"/>
  <c r="Z69" i="7"/>
  <c r="AB69" i="7"/>
  <c r="AC69" i="7"/>
  <c r="AD69" i="7"/>
  <c r="AG69" i="7"/>
  <c r="AH69" i="7"/>
  <c r="N70" i="7"/>
  <c r="O70" i="7"/>
  <c r="P70" i="7"/>
  <c r="Q70" i="7"/>
  <c r="R70" i="7"/>
  <c r="S70" i="7"/>
  <c r="T70" i="7"/>
  <c r="U70" i="7"/>
  <c r="W70" i="7"/>
  <c r="X70" i="7"/>
  <c r="Y70" i="7"/>
  <c r="Z70" i="7"/>
  <c r="AB70" i="7"/>
  <c r="AC70" i="7"/>
  <c r="AD70" i="7"/>
  <c r="AG70" i="7"/>
  <c r="AH70" i="7"/>
  <c r="N71" i="7"/>
  <c r="O71" i="7"/>
  <c r="P71" i="7"/>
  <c r="Q71" i="7"/>
  <c r="R71" i="7"/>
  <c r="S71" i="7"/>
  <c r="T71" i="7"/>
  <c r="U71" i="7"/>
  <c r="W71" i="7"/>
  <c r="X71" i="7"/>
  <c r="Y71" i="7"/>
  <c r="Z71" i="7"/>
  <c r="AB71" i="7"/>
  <c r="AC71" i="7"/>
  <c r="AD71" i="7"/>
  <c r="AG71" i="7"/>
  <c r="AH71" i="7"/>
  <c r="N72" i="7"/>
  <c r="O72" i="7"/>
  <c r="P72" i="7"/>
  <c r="Q72" i="7"/>
  <c r="R72" i="7"/>
  <c r="S72" i="7"/>
  <c r="T72" i="7"/>
  <c r="U72" i="7"/>
  <c r="W72" i="7"/>
  <c r="X72" i="7"/>
  <c r="Y72" i="7"/>
  <c r="Z72" i="7"/>
  <c r="AB72" i="7"/>
  <c r="AC72" i="7"/>
  <c r="AD72" i="7"/>
  <c r="AG72" i="7"/>
  <c r="AH72" i="7"/>
  <c r="N73" i="7"/>
  <c r="O73" i="7"/>
  <c r="P73" i="7"/>
  <c r="Q73" i="7"/>
  <c r="R73" i="7"/>
  <c r="S73" i="7"/>
  <c r="T73" i="7"/>
  <c r="U73" i="7"/>
  <c r="W73" i="7"/>
  <c r="X73" i="7"/>
  <c r="Y73" i="7"/>
  <c r="Z73" i="7"/>
  <c r="AB73" i="7"/>
  <c r="AC73" i="7"/>
  <c r="AD73" i="7"/>
  <c r="AG73" i="7"/>
  <c r="AH73" i="7"/>
  <c r="N74" i="7"/>
  <c r="O74" i="7"/>
  <c r="P74" i="7"/>
  <c r="Q74" i="7"/>
  <c r="R74" i="7"/>
  <c r="S74" i="7"/>
  <c r="T74" i="7"/>
  <c r="U74" i="7"/>
  <c r="W74" i="7"/>
  <c r="X74" i="7"/>
  <c r="Y74" i="7"/>
  <c r="Z74" i="7"/>
  <c r="AB74" i="7"/>
  <c r="AC74" i="7"/>
  <c r="AD74" i="7"/>
  <c r="AG74" i="7"/>
  <c r="AH74" i="7"/>
  <c r="N75" i="7"/>
  <c r="O75" i="7"/>
  <c r="P75" i="7"/>
  <c r="Q75" i="7"/>
  <c r="R75" i="7"/>
  <c r="S75" i="7"/>
  <c r="T75" i="7"/>
  <c r="U75" i="7"/>
  <c r="W75" i="7"/>
  <c r="X75" i="7"/>
  <c r="Y75" i="7"/>
  <c r="Z75" i="7"/>
  <c r="AB75" i="7"/>
  <c r="AC75" i="7"/>
  <c r="AD75" i="7"/>
  <c r="AG75" i="7"/>
  <c r="AH75" i="7"/>
  <c r="N76" i="7"/>
  <c r="O76" i="7"/>
  <c r="P76" i="7"/>
  <c r="Q76" i="7"/>
  <c r="R76" i="7"/>
  <c r="S76" i="7"/>
  <c r="T76" i="7"/>
  <c r="U76" i="7"/>
  <c r="W76" i="7"/>
  <c r="X76" i="7"/>
  <c r="Y76" i="7"/>
  <c r="Z76" i="7"/>
  <c r="AB76" i="7"/>
  <c r="AC76" i="7"/>
  <c r="AD76" i="7"/>
  <c r="AG76" i="7"/>
  <c r="AH76" i="7"/>
  <c r="N77" i="7"/>
  <c r="O77" i="7"/>
  <c r="P77" i="7"/>
  <c r="Q77" i="7"/>
  <c r="R77" i="7"/>
  <c r="S77" i="7"/>
  <c r="T77" i="7"/>
  <c r="U77" i="7"/>
  <c r="W77" i="7"/>
  <c r="X77" i="7"/>
  <c r="Y77" i="7"/>
  <c r="Z77" i="7"/>
  <c r="AB77" i="7"/>
  <c r="AC77" i="7"/>
  <c r="AD77" i="7"/>
  <c r="AG77" i="7"/>
  <c r="AH77" i="7"/>
  <c r="N78" i="7"/>
  <c r="O78" i="7"/>
  <c r="P78" i="7"/>
  <c r="Q78" i="7"/>
  <c r="R78" i="7"/>
  <c r="S78" i="7"/>
  <c r="T78" i="7"/>
  <c r="U78" i="7"/>
  <c r="W78" i="7"/>
  <c r="X78" i="7"/>
  <c r="Y78" i="7"/>
  <c r="Z78" i="7"/>
  <c r="AB78" i="7"/>
  <c r="AC78" i="7"/>
  <c r="AD78" i="7"/>
  <c r="AG78" i="7"/>
  <c r="AH78" i="7"/>
  <c r="N79" i="7"/>
  <c r="O79" i="7"/>
  <c r="P79" i="7"/>
  <c r="Q79" i="7"/>
  <c r="R79" i="7"/>
  <c r="S79" i="7"/>
  <c r="T79" i="7"/>
  <c r="U79" i="7"/>
  <c r="W79" i="7"/>
  <c r="X79" i="7"/>
  <c r="Y79" i="7"/>
  <c r="Z79" i="7"/>
  <c r="AB79" i="7"/>
  <c r="AC79" i="7"/>
  <c r="AD79" i="7"/>
  <c r="AG79" i="7"/>
  <c r="AH79" i="7"/>
  <c r="N80" i="7"/>
  <c r="O80" i="7"/>
  <c r="P80" i="7"/>
  <c r="Q80" i="7"/>
  <c r="R80" i="7"/>
  <c r="S80" i="7"/>
  <c r="T80" i="7"/>
  <c r="U80" i="7"/>
  <c r="W80" i="7"/>
  <c r="X80" i="7"/>
  <c r="Y80" i="7"/>
  <c r="Z80" i="7"/>
  <c r="AB80" i="7"/>
  <c r="AC80" i="7"/>
  <c r="AD80" i="7"/>
  <c r="AG80" i="7"/>
  <c r="AH80" i="7"/>
  <c r="N81" i="7"/>
  <c r="O81" i="7"/>
  <c r="P81" i="7"/>
  <c r="Q81" i="7"/>
  <c r="R81" i="7"/>
  <c r="S81" i="7"/>
  <c r="T81" i="7"/>
  <c r="U81" i="7"/>
  <c r="W81" i="7"/>
  <c r="X81" i="7"/>
  <c r="Y81" i="7"/>
  <c r="Z81" i="7"/>
  <c r="AB81" i="7"/>
  <c r="AC81" i="7"/>
  <c r="AD81" i="7"/>
  <c r="AG81" i="7"/>
  <c r="AH81" i="7"/>
  <c r="N82" i="7"/>
  <c r="O82" i="7"/>
  <c r="P82" i="7"/>
  <c r="Q82" i="7"/>
  <c r="R82" i="7"/>
  <c r="S82" i="7"/>
  <c r="T82" i="7"/>
  <c r="U82" i="7"/>
  <c r="W82" i="7"/>
  <c r="X82" i="7"/>
  <c r="Y82" i="7"/>
  <c r="Z82" i="7"/>
  <c r="AB82" i="7"/>
  <c r="AC82" i="7"/>
  <c r="AD82" i="7"/>
  <c r="AG82" i="7"/>
  <c r="AH82" i="7"/>
  <c r="N83" i="7"/>
  <c r="O83" i="7"/>
  <c r="P83" i="7"/>
  <c r="Q83" i="7"/>
  <c r="R83" i="7"/>
  <c r="S83" i="7"/>
  <c r="T83" i="7"/>
  <c r="U83" i="7"/>
  <c r="W83" i="7"/>
  <c r="X83" i="7"/>
  <c r="Y83" i="7"/>
  <c r="Z83" i="7"/>
  <c r="AB83" i="7"/>
  <c r="AC83" i="7"/>
  <c r="AD83" i="7"/>
  <c r="AG83" i="7"/>
  <c r="AH83" i="7"/>
  <c r="N84" i="7"/>
  <c r="O84" i="7"/>
  <c r="P84" i="7"/>
  <c r="Q84" i="7"/>
  <c r="R84" i="7"/>
  <c r="S84" i="7"/>
  <c r="T84" i="7"/>
  <c r="U84" i="7"/>
  <c r="W84" i="7"/>
  <c r="X84" i="7"/>
  <c r="Y84" i="7"/>
  <c r="Z84" i="7"/>
  <c r="AB84" i="7"/>
  <c r="AC84" i="7"/>
  <c r="AD84" i="7"/>
  <c r="AG84" i="7"/>
  <c r="AH84" i="7"/>
  <c r="N85" i="7"/>
  <c r="O85" i="7"/>
  <c r="P85" i="7"/>
  <c r="Q85" i="7"/>
  <c r="R85" i="7"/>
  <c r="S85" i="7"/>
  <c r="T85" i="7"/>
  <c r="U85" i="7"/>
  <c r="W85" i="7"/>
  <c r="X85" i="7"/>
  <c r="Y85" i="7"/>
  <c r="Z85" i="7"/>
  <c r="AB85" i="7"/>
  <c r="AC85" i="7"/>
  <c r="AD85" i="7"/>
  <c r="AG85" i="7"/>
  <c r="AH85" i="7"/>
  <c r="N86" i="7"/>
  <c r="O86" i="7"/>
  <c r="P86" i="7"/>
  <c r="Q86" i="7"/>
  <c r="R86" i="7"/>
  <c r="S86" i="7"/>
  <c r="T86" i="7"/>
  <c r="U86" i="7"/>
  <c r="W86" i="7"/>
  <c r="X86" i="7"/>
  <c r="Y86" i="7"/>
  <c r="Z86" i="7"/>
  <c r="AB86" i="7"/>
  <c r="AC86" i="7"/>
  <c r="AD86" i="7"/>
  <c r="AG86" i="7"/>
  <c r="AH86" i="7"/>
  <c r="N87" i="7"/>
  <c r="O87" i="7"/>
  <c r="P87" i="7"/>
  <c r="Q87" i="7"/>
  <c r="R87" i="7"/>
  <c r="S87" i="7"/>
  <c r="T87" i="7"/>
  <c r="U87" i="7"/>
  <c r="W87" i="7"/>
  <c r="X87" i="7"/>
  <c r="Y87" i="7"/>
  <c r="Z87" i="7"/>
  <c r="AB87" i="7"/>
  <c r="AC87" i="7"/>
  <c r="AD87" i="7"/>
  <c r="AG87" i="7"/>
  <c r="AH87" i="7"/>
  <c r="N88" i="7"/>
  <c r="O88" i="7"/>
  <c r="P88" i="7"/>
  <c r="Q88" i="7"/>
  <c r="R88" i="7"/>
  <c r="S88" i="7"/>
  <c r="T88" i="7"/>
  <c r="U88" i="7"/>
  <c r="W88" i="7"/>
  <c r="X88" i="7"/>
  <c r="Y88" i="7"/>
  <c r="Z88" i="7"/>
  <c r="AB88" i="7"/>
  <c r="AC88" i="7"/>
  <c r="AD88" i="7"/>
  <c r="AG88" i="7"/>
  <c r="AH88" i="7"/>
  <c r="N89" i="7"/>
  <c r="O89" i="7"/>
  <c r="P89" i="7"/>
  <c r="Q89" i="7"/>
  <c r="R89" i="7"/>
  <c r="S89" i="7"/>
  <c r="T89" i="7"/>
  <c r="U89" i="7"/>
  <c r="W89" i="7"/>
  <c r="X89" i="7"/>
  <c r="Y89" i="7"/>
  <c r="Z89" i="7"/>
  <c r="AB89" i="7"/>
  <c r="AC89" i="7"/>
  <c r="AD89" i="7"/>
  <c r="AG89" i="7"/>
  <c r="AH89" i="7"/>
  <c r="N90" i="7"/>
  <c r="O90" i="7"/>
  <c r="P90" i="7"/>
  <c r="Q90" i="7"/>
  <c r="R90" i="7"/>
  <c r="S90" i="7"/>
  <c r="T90" i="7"/>
  <c r="U90" i="7"/>
  <c r="W90" i="7"/>
  <c r="X90" i="7"/>
  <c r="Y90" i="7"/>
  <c r="Z90" i="7"/>
  <c r="AB90" i="7"/>
  <c r="AC90" i="7"/>
  <c r="AD90" i="7"/>
  <c r="AG90" i="7"/>
  <c r="AH90" i="7"/>
  <c r="N91" i="7"/>
  <c r="O91" i="7"/>
  <c r="P91" i="7"/>
  <c r="Q91" i="7"/>
  <c r="R91" i="7"/>
  <c r="S91" i="7"/>
  <c r="T91" i="7"/>
  <c r="U91" i="7"/>
  <c r="W91" i="7"/>
  <c r="X91" i="7"/>
  <c r="Y91" i="7"/>
  <c r="Z91" i="7"/>
  <c r="AB91" i="7"/>
  <c r="AC91" i="7"/>
  <c r="AD91" i="7"/>
  <c r="AG91" i="7"/>
  <c r="AH91" i="7"/>
  <c r="N92" i="7"/>
  <c r="O92" i="7"/>
  <c r="P92" i="7"/>
  <c r="Q92" i="7"/>
  <c r="R92" i="7"/>
  <c r="S92" i="7"/>
  <c r="T92" i="7"/>
  <c r="U92" i="7"/>
  <c r="W92" i="7"/>
  <c r="X92" i="7"/>
  <c r="Y92" i="7"/>
  <c r="Z92" i="7"/>
  <c r="AB92" i="7"/>
  <c r="AC92" i="7"/>
  <c r="AD92" i="7"/>
  <c r="AG92" i="7"/>
  <c r="AH92" i="7"/>
  <c r="N93" i="7"/>
  <c r="O93" i="7"/>
  <c r="P93" i="7"/>
  <c r="Q93" i="7"/>
  <c r="R93" i="7"/>
  <c r="S93" i="7"/>
  <c r="T93" i="7"/>
  <c r="U93" i="7"/>
  <c r="W93" i="7"/>
  <c r="X93" i="7"/>
  <c r="Y93" i="7"/>
  <c r="Z93" i="7"/>
  <c r="AB93" i="7"/>
  <c r="AC93" i="7"/>
  <c r="AD93" i="7"/>
  <c r="AG93" i="7"/>
  <c r="AH93" i="7"/>
  <c r="N94" i="7"/>
  <c r="O94" i="7"/>
  <c r="P94" i="7"/>
  <c r="Q94" i="7"/>
  <c r="R94" i="7"/>
  <c r="S94" i="7"/>
  <c r="T94" i="7"/>
  <c r="U94" i="7"/>
  <c r="W94" i="7"/>
  <c r="X94" i="7"/>
  <c r="Y94" i="7"/>
  <c r="Z94" i="7"/>
  <c r="AB94" i="7"/>
  <c r="AC94" i="7"/>
  <c r="AD94" i="7"/>
  <c r="AG94" i="7"/>
  <c r="AH94" i="7"/>
  <c r="N95" i="7"/>
  <c r="O95" i="7"/>
  <c r="P95" i="7"/>
  <c r="Q95" i="7"/>
  <c r="R95" i="7"/>
  <c r="S95" i="7"/>
  <c r="T95" i="7"/>
  <c r="U95" i="7"/>
  <c r="W95" i="7"/>
  <c r="X95" i="7"/>
  <c r="Y95" i="7"/>
  <c r="Z95" i="7"/>
  <c r="AB95" i="7"/>
  <c r="AC95" i="7"/>
  <c r="AD95" i="7"/>
  <c r="AG95" i="7"/>
  <c r="AH95" i="7"/>
  <c r="N96" i="7"/>
  <c r="O96" i="7"/>
  <c r="P96" i="7"/>
  <c r="Q96" i="7"/>
  <c r="R96" i="7"/>
  <c r="S96" i="7"/>
  <c r="T96" i="7"/>
  <c r="U96" i="7"/>
  <c r="W96" i="7"/>
  <c r="X96" i="7"/>
  <c r="Y96" i="7"/>
  <c r="Z96" i="7"/>
  <c r="AB96" i="7"/>
  <c r="AC96" i="7"/>
  <c r="AD96" i="7"/>
  <c r="AG96" i="7"/>
  <c r="AH96" i="7"/>
  <c r="N97" i="7"/>
  <c r="O97" i="7"/>
  <c r="P97" i="7"/>
  <c r="Q97" i="7"/>
  <c r="R97" i="7"/>
  <c r="S97" i="7"/>
  <c r="T97" i="7"/>
  <c r="U97" i="7"/>
  <c r="W97" i="7"/>
  <c r="X97" i="7"/>
  <c r="Y97" i="7"/>
  <c r="Z97" i="7"/>
  <c r="AB97" i="7"/>
  <c r="AC97" i="7"/>
  <c r="AD97" i="7"/>
  <c r="AG97" i="7"/>
  <c r="AH97" i="7"/>
  <c r="N98" i="7"/>
  <c r="O98" i="7"/>
  <c r="P98" i="7"/>
  <c r="Q98" i="7"/>
  <c r="R98" i="7"/>
  <c r="S98" i="7"/>
  <c r="T98" i="7"/>
  <c r="U98" i="7"/>
  <c r="W98" i="7"/>
  <c r="X98" i="7"/>
  <c r="Y98" i="7"/>
  <c r="Z98" i="7"/>
  <c r="AB98" i="7"/>
  <c r="AC98" i="7"/>
  <c r="AD98" i="7"/>
  <c r="AG98" i="7"/>
  <c r="AH98" i="7"/>
  <c r="N99" i="7"/>
  <c r="O99" i="7"/>
  <c r="P99" i="7"/>
  <c r="Q99" i="7"/>
  <c r="R99" i="7"/>
  <c r="S99" i="7"/>
  <c r="T99" i="7"/>
  <c r="U99" i="7"/>
  <c r="W99" i="7"/>
  <c r="X99" i="7"/>
  <c r="Y99" i="7"/>
  <c r="Z99" i="7"/>
  <c r="AB99" i="7"/>
  <c r="AC99" i="7"/>
  <c r="AD99" i="7"/>
  <c r="AG99" i="7"/>
  <c r="AH99" i="7"/>
  <c r="N100" i="7"/>
  <c r="O100" i="7"/>
  <c r="P100" i="7"/>
  <c r="Q100" i="7"/>
  <c r="R100" i="7"/>
  <c r="S100" i="7"/>
  <c r="T100" i="7"/>
  <c r="U100" i="7"/>
  <c r="W100" i="7"/>
  <c r="X100" i="7"/>
  <c r="Y100" i="7"/>
  <c r="Z100" i="7"/>
  <c r="AB100" i="7"/>
  <c r="AC100" i="7"/>
  <c r="AD100" i="7"/>
  <c r="AG100" i="7"/>
  <c r="AH100" i="7"/>
  <c r="N101" i="7"/>
  <c r="O101" i="7"/>
  <c r="P101" i="7"/>
  <c r="Q101" i="7"/>
  <c r="R101" i="7"/>
  <c r="S101" i="7"/>
  <c r="T101" i="7"/>
  <c r="U101" i="7"/>
  <c r="W101" i="7"/>
  <c r="X101" i="7"/>
  <c r="Y101" i="7"/>
  <c r="Z101" i="7"/>
  <c r="AB101" i="7"/>
  <c r="AC101" i="7"/>
  <c r="AD101" i="7"/>
  <c r="AG101" i="7"/>
  <c r="AH101" i="7"/>
  <c r="N102" i="7"/>
  <c r="O102" i="7"/>
  <c r="P102" i="7"/>
  <c r="Q102" i="7"/>
  <c r="R102" i="7"/>
  <c r="S102" i="7"/>
  <c r="T102" i="7"/>
  <c r="U102" i="7"/>
  <c r="W102" i="7"/>
  <c r="X102" i="7"/>
  <c r="Y102" i="7"/>
  <c r="Z102" i="7"/>
  <c r="AB102" i="7"/>
  <c r="AC102" i="7"/>
  <c r="AD102" i="7"/>
  <c r="AG102" i="7"/>
  <c r="AH102" i="7"/>
  <c r="N103" i="7"/>
  <c r="O103" i="7"/>
  <c r="P103" i="7"/>
  <c r="Q103" i="7"/>
  <c r="R103" i="7"/>
  <c r="S103" i="7"/>
  <c r="T103" i="7"/>
  <c r="U103" i="7"/>
  <c r="W103" i="7"/>
  <c r="X103" i="7"/>
  <c r="Y103" i="7"/>
  <c r="Z103" i="7"/>
  <c r="AB103" i="7"/>
  <c r="AC103" i="7"/>
  <c r="AD103" i="7"/>
  <c r="AG103" i="7"/>
  <c r="AH103" i="7"/>
  <c r="N104" i="7"/>
  <c r="O104" i="7"/>
  <c r="P104" i="7"/>
  <c r="Q104" i="7"/>
  <c r="R104" i="7"/>
  <c r="S104" i="7"/>
  <c r="T104" i="7"/>
  <c r="U104" i="7"/>
  <c r="W104" i="7"/>
  <c r="X104" i="7"/>
  <c r="Y104" i="7"/>
  <c r="Z104" i="7"/>
  <c r="AB104" i="7"/>
  <c r="AC104" i="7"/>
  <c r="AD104" i="7"/>
  <c r="AG104" i="7"/>
  <c r="AH104" i="7"/>
  <c r="N105" i="7"/>
  <c r="O105" i="7"/>
  <c r="P105" i="7"/>
  <c r="Q105" i="7"/>
  <c r="R105" i="7"/>
  <c r="S105" i="7"/>
  <c r="T105" i="7"/>
  <c r="U105" i="7"/>
  <c r="W105" i="7"/>
  <c r="X105" i="7"/>
  <c r="Y105" i="7"/>
  <c r="Z105" i="7"/>
  <c r="AB105" i="7"/>
  <c r="AC105" i="7"/>
  <c r="AD105" i="7"/>
  <c r="AG105" i="7"/>
  <c r="AH105" i="7"/>
  <c r="N106" i="7"/>
  <c r="O106" i="7"/>
  <c r="P106" i="7"/>
  <c r="Q106" i="7"/>
  <c r="R106" i="7"/>
  <c r="S106" i="7"/>
  <c r="T106" i="7"/>
  <c r="U106" i="7"/>
  <c r="W106" i="7"/>
  <c r="X106" i="7"/>
  <c r="Y106" i="7"/>
  <c r="Z106" i="7"/>
  <c r="AB106" i="7"/>
  <c r="AC106" i="7"/>
  <c r="AD106" i="7"/>
  <c r="AG106" i="7"/>
  <c r="AH106" i="7"/>
  <c r="N107" i="7"/>
  <c r="O107" i="7"/>
  <c r="P107" i="7"/>
  <c r="Q107" i="7"/>
  <c r="R107" i="7"/>
  <c r="S107" i="7"/>
  <c r="T107" i="7"/>
  <c r="U107" i="7"/>
  <c r="W107" i="7"/>
  <c r="X107" i="7"/>
  <c r="Y107" i="7"/>
  <c r="Z107" i="7"/>
  <c r="AB107" i="7"/>
  <c r="AC107" i="7"/>
  <c r="AD107" i="7"/>
  <c r="AG107" i="7"/>
  <c r="AH107" i="7"/>
  <c r="N108" i="7"/>
  <c r="O108" i="7"/>
  <c r="P108" i="7"/>
  <c r="Q108" i="7"/>
  <c r="R108" i="7"/>
  <c r="S108" i="7"/>
  <c r="T108" i="7"/>
  <c r="U108" i="7"/>
  <c r="W108" i="7"/>
  <c r="X108" i="7"/>
  <c r="Y108" i="7"/>
  <c r="Z108" i="7"/>
  <c r="AB108" i="7"/>
  <c r="AC108" i="7"/>
  <c r="AD108" i="7"/>
  <c r="AG108" i="7"/>
  <c r="AH108" i="7"/>
  <c r="N109" i="7"/>
  <c r="O109" i="7"/>
  <c r="P109" i="7"/>
  <c r="Q109" i="7"/>
  <c r="R109" i="7"/>
  <c r="S109" i="7"/>
  <c r="T109" i="7"/>
  <c r="U109" i="7"/>
  <c r="W109" i="7"/>
  <c r="X109" i="7"/>
  <c r="Y109" i="7"/>
  <c r="Z109" i="7"/>
  <c r="AB109" i="7"/>
  <c r="AC109" i="7"/>
  <c r="AD109" i="7"/>
  <c r="AG109" i="7"/>
  <c r="AH109" i="7"/>
  <c r="N110" i="7"/>
  <c r="O110" i="7"/>
  <c r="P110" i="7"/>
  <c r="Q110" i="7"/>
  <c r="R110" i="7"/>
  <c r="S110" i="7"/>
  <c r="T110" i="7"/>
  <c r="U110" i="7"/>
  <c r="W110" i="7"/>
  <c r="X110" i="7"/>
  <c r="Y110" i="7"/>
  <c r="Z110" i="7"/>
  <c r="AB110" i="7"/>
  <c r="AC110" i="7"/>
  <c r="AD110" i="7"/>
  <c r="AG110" i="7"/>
  <c r="AH110" i="7"/>
  <c r="N111" i="7"/>
  <c r="O111" i="7"/>
  <c r="P111" i="7"/>
  <c r="Q111" i="7"/>
  <c r="R111" i="7"/>
  <c r="S111" i="7"/>
  <c r="T111" i="7"/>
  <c r="U111" i="7"/>
  <c r="W111" i="7"/>
  <c r="X111" i="7"/>
  <c r="Y111" i="7"/>
  <c r="Z111" i="7"/>
  <c r="AB111" i="7"/>
  <c r="AC111" i="7"/>
  <c r="AD111" i="7"/>
  <c r="AG111" i="7"/>
  <c r="AH111" i="7"/>
  <c r="N112" i="7"/>
  <c r="O112" i="7"/>
  <c r="P112" i="7"/>
  <c r="Q112" i="7"/>
  <c r="R112" i="7"/>
  <c r="S112" i="7"/>
  <c r="T112" i="7"/>
  <c r="U112" i="7"/>
  <c r="W112" i="7"/>
  <c r="X112" i="7"/>
  <c r="Y112" i="7"/>
  <c r="Z112" i="7"/>
  <c r="AB112" i="7"/>
  <c r="AC112" i="7"/>
  <c r="AD112" i="7"/>
  <c r="AG112" i="7"/>
  <c r="AH112" i="7"/>
  <c r="N113" i="7"/>
  <c r="O113" i="7"/>
  <c r="P113" i="7"/>
  <c r="Q113" i="7"/>
  <c r="R113" i="7"/>
  <c r="S113" i="7"/>
  <c r="T113" i="7"/>
  <c r="U113" i="7"/>
  <c r="W113" i="7"/>
  <c r="X113" i="7"/>
  <c r="Y113" i="7"/>
  <c r="Z113" i="7"/>
  <c r="AB113" i="7"/>
  <c r="AC113" i="7"/>
  <c r="AD113" i="7"/>
  <c r="AG113" i="7"/>
  <c r="AH113" i="7"/>
  <c r="N114" i="7"/>
  <c r="O114" i="7"/>
  <c r="P114" i="7"/>
  <c r="Q114" i="7"/>
  <c r="R114" i="7"/>
  <c r="S114" i="7"/>
  <c r="T114" i="7"/>
  <c r="U114" i="7"/>
  <c r="W114" i="7"/>
  <c r="X114" i="7"/>
  <c r="Y114" i="7"/>
  <c r="Z114" i="7"/>
  <c r="AB114" i="7"/>
  <c r="AC114" i="7"/>
  <c r="AD114" i="7"/>
  <c r="AG114" i="7"/>
  <c r="AH114" i="7"/>
  <c r="N115" i="7"/>
  <c r="O115" i="7"/>
  <c r="P115" i="7"/>
  <c r="Q115" i="7"/>
  <c r="R115" i="7"/>
  <c r="S115" i="7"/>
  <c r="T115" i="7"/>
  <c r="U115" i="7"/>
  <c r="W115" i="7"/>
  <c r="X115" i="7"/>
  <c r="Y115" i="7"/>
  <c r="Z115" i="7"/>
  <c r="AB115" i="7"/>
  <c r="AC115" i="7"/>
  <c r="AD115" i="7"/>
  <c r="AG115" i="7"/>
  <c r="AH115" i="7"/>
  <c r="N116" i="7"/>
  <c r="O116" i="7"/>
  <c r="P116" i="7"/>
  <c r="Q116" i="7"/>
  <c r="R116" i="7"/>
  <c r="S116" i="7"/>
  <c r="T116" i="7"/>
  <c r="U116" i="7"/>
  <c r="W116" i="7"/>
  <c r="X116" i="7"/>
  <c r="Y116" i="7"/>
  <c r="Z116" i="7"/>
  <c r="AB116" i="7"/>
  <c r="AC116" i="7"/>
  <c r="AD116" i="7"/>
  <c r="AG116" i="7"/>
  <c r="AH116" i="7"/>
  <c r="N117" i="7"/>
  <c r="O117" i="7"/>
  <c r="P117" i="7"/>
  <c r="Q117" i="7"/>
  <c r="R117" i="7"/>
  <c r="S117" i="7"/>
  <c r="T117" i="7"/>
  <c r="U117" i="7"/>
  <c r="W117" i="7"/>
  <c r="X117" i="7"/>
  <c r="Y117" i="7"/>
  <c r="Z117" i="7"/>
  <c r="AB117" i="7"/>
  <c r="AC117" i="7"/>
  <c r="AD117" i="7"/>
  <c r="AG117" i="7"/>
  <c r="AH117" i="7"/>
  <c r="N118" i="7"/>
  <c r="O118" i="7"/>
  <c r="P118" i="7"/>
  <c r="Q118" i="7"/>
  <c r="R118" i="7"/>
  <c r="S118" i="7"/>
  <c r="T118" i="7"/>
  <c r="U118" i="7"/>
  <c r="W118" i="7"/>
  <c r="X118" i="7"/>
  <c r="Y118" i="7"/>
  <c r="Z118" i="7"/>
  <c r="AB118" i="7"/>
  <c r="AC118" i="7"/>
  <c r="AD118" i="7"/>
  <c r="AG118" i="7"/>
  <c r="AH118" i="7"/>
  <c r="N119" i="7"/>
  <c r="O119" i="7"/>
  <c r="P119" i="7"/>
  <c r="Q119" i="7"/>
  <c r="R119" i="7"/>
  <c r="S119" i="7"/>
  <c r="T119" i="7"/>
  <c r="U119" i="7"/>
  <c r="W119" i="7"/>
  <c r="X119" i="7"/>
  <c r="Y119" i="7"/>
  <c r="Z119" i="7"/>
  <c r="AB119" i="7"/>
  <c r="AC119" i="7"/>
  <c r="AD119" i="7"/>
  <c r="AG119" i="7"/>
  <c r="AH119" i="7"/>
  <c r="N120" i="7"/>
  <c r="O120" i="7"/>
  <c r="P120" i="7"/>
  <c r="Q120" i="7"/>
  <c r="R120" i="7"/>
  <c r="S120" i="7"/>
  <c r="T120" i="7"/>
  <c r="U120" i="7"/>
  <c r="W120" i="7"/>
  <c r="X120" i="7"/>
  <c r="Y120" i="7"/>
  <c r="Z120" i="7"/>
  <c r="AB120" i="7"/>
  <c r="AC120" i="7"/>
  <c r="AD120" i="7"/>
  <c r="AG120" i="7"/>
  <c r="AH120" i="7"/>
  <c r="N121" i="7"/>
  <c r="O121" i="7"/>
  <c r="P121" i="7"/>
  <c r="Q121" i="7"/>
  <c r="R121" i="7"/>
  <c r="S121" i="7"/>
  <c r="T121" i="7"/>
  <c r="U121" i="7"/>
  <c r="W121" i="7"/>
  <c r="X121" i="7"/>
  <c r="Y121" i="7"/>
  <c r="Z121" i="7"/>
  <c r="AB121" i="7"/>
  <c r="AC121" i="7"/>
  <c r="AD121" i="7"/>
  <c r="AG121" i="7"/>
  <c r="AH121" i="7"/>
  <c r="N122" i="7"/>
  <c r="O122" i="7"/>
  <c r="P122" i="7"/>
  <c r="Q122" i="7"/>
  <c r="R122" i="7"/>
  <c r="S122" i="7"/>
  <c r="T122" i="7"/>
  <c r="U122" i="7"/>
  <c r="W122" i="7"/>
  <c r="X122" i="7"/>
  <c r="Y122" i="7"/>
  <c r="Z122" i="7"/>
  <c r="AB122" i="7"/>
  <c r="AC122" i="7"/>
  <c r="AD122" i="7"/>
  <c r="AG122" i="7"/>
  <c r="AH122" i="7"/>
  <c r="N123" i="7"/>
  <c r="O123" i="7"/>
  <c r="P123" i="7"/>
  <c r="Q123" i="7"/>
  <c r="R123" i="7"/>
  <c r="S123" i="7"/>
  <c r="T123" i="7"/>
  <c r="U123" i="7"/>
  <c r="W123" i="7"/>
  <c r="X123" i="7"/>
  <c r="Y123" i="7"/>
  <c r="Z123" i="7"/>
  <c r="AB123" i="7"/>
  <c r="AC123" i="7"/>
  <c r="AD123" i="7"/>
  <c r="AG123" i="7"/>
  <c r="AH123" i="7"/>
  <c r="N124" i="7"/>
  <c r="O124" i="7"/>
  <c r="P124" i="7"/>
  <c r="Q124" i="7"/>
  <c r="R124" i="7"/>
  <c r="S124" i="7"/>
  <c r="T124" i="7"/>
  <c r="U124" i="7"/>
  <c r="W124" i="7"/>
  <c r="X124" i="7"/>
  <c r="Y124" i="7"/>
  <c r="Z124" i="7"/>
  <c r="AB124" i="7"/>
  <c r="AC124" i="7"/>
  <c r="AD124" i="7"/>
  <c r="AG124" i="7"/>
  <c r="AH124" i="7"/>
  <c r="N125" i="7"/>
  <c r="O125" i="7"/>
  <c r="P125" i="7"/>
  <c r="Q125" i="7"/>
  <c r="R125" i="7"/>
  <c r="S125" i="7"/>
  <c r="T125" i="7"/>
  <c r="U125" i="7"/>
  <c r="W125" i="7"/>
  <c r="X125" i="7"/>
  <c r="Y125" i="7"/>
  <c r="Z125" i="7"/>
  <c r="AB125" i="7"/>
  <c r="AC125" i="7"/>
  <c r="AD125" i="7"/>
  <c r="AG125" i="7"/>
  <c r="AH125" i="7"/>
  <c r="N126" i="7"/>
  <c r="O126" i="7"/>
  <c r="P126" i="7"/>
  <c r="Q126" i="7"/>
  <c r="R126" i="7"/>
  <c r="S126" i="7"/>
  <c r="T126" i="7"/>
  <c r="U126" i="7"/>
  <c r="W126" i="7"/>
  <c r="X126" i="7"/>
  <c r="Y126" i="7"/>
  <c r="Z126" i="7"/>
  <c r="AB126" i="7"/>
  <c r="AC126" i="7"/>
  <c r="AD126" i="7"/>
  <c r="AG126" i="7"/>
  <c r="AH126" i="7"/>
  <c r="N127" i="7"/>
  <c r="O127" i="7"/>
  <c r="P127" i="7"/>
  <c r="Q127" i="7"/>
  <c r="R127" i="7"/>
  <c r="S127" i="7"/>
  <c r="T127" i="7"/>
  <c r="U127" i="7"/>
  <c r="W127" i="7"/>
  <c r="X127" i="7"/>
  <c r="Y127" i="7"/>
  <c r="Z127" i="7"/>
  <c r="AB127" i="7"/>
  <c r="AC127" i="7"/>
  <c r="AD127" i="7"/>
  <c r="AG127" i="7"/>
  <c r="AH127" i="7"/>
  <c r="N128" i="7"/>
  <c r="O128" i="7"/>
  <c r="P128" i="7"/>
  <c r="Q128" i="7"/>
  <c r="R128" i="7"/>
  <c r="S128" i="7"/>
  <c r="T128" i="7"/>
  <c r="U128" i="7"/>
  <c r="W128" i="7"/>
  <c r="X128" i="7"/>
  <c r="Y128" i="7"/>
  <c r="Z128" i="7"/>
  <c r="AB128" i="7"/>
  <c r="AC128" i="7"/>
  <c r="AD128" i="7"/>
  <c r="AG128" i="7"/>
  <c r="AH128" i="7"/>
  <c r="N129" i="7"/>
  <c r="O129" i="7"/>
  <c r="P129" i="7"/>
  <c r="Q129" i="7"/>
  <c r="R129" i="7"/>
  <c r="S129" i="7"/>
  <c r="T129" i="7"/>
  <c r="U129" i="7"/>
  <c r="W129" i="7"/>
  <c r="X129" i="7"/>
  <c r="Y129" i="7"/>
  <c r="Z129" i="7"/>
  <c r="AB129" i="7"/>
  <c r="AC129" i="7"/>
  <c r="AD129" i="7"/>
  <c r="AG129" i="7"/>
  <c r="AH129" i="7"/>
  <c r="N130" i="7"/>
  <c r="O130" i="7"/>
  <c r="P130" i="7"/>
  <c r="Q130" i="7"/>
  <c r="R130" i="7"/>
  <c r="S130" i="7"/>
  <c r="T130" i="7"/>
  <c r="U130" i="7"/>
  <c r="W130" i="7"/>
  <c r="X130" i="7"/>
  <c r="Y130" i="7"/>
  <c r="Z130" i="7"/>
  <c r="AB130" i="7"/>
  <c r="AC130" i="7"/>
  <c r="AD130" i="7"/>
  <c r="AG130" i="7"/>
  <c r="AH130" i="7"/>
  <c r="N131" i="7"/>
  <c r="O131" i="7"/>
  <c r="P131" i="7"/>
  <c r="Q131" i="7"/>
  <c r="R131" i="7"/>
  <c r="S131" i="7"/>
  <c r="T131" i="7"/>
  <c r="U131" i="7"/>
  <c r="W131" i="7"/>
  <c r="X131" i="7"/>
  <c r="Y131" i="7"/>
  <c r="Z131" i="7"/>
  <c r="AB131" i="7"/>
  <c r="AC131" i="7"/>
  <c r="AD131" i="7"/>
  <c r="AG131" i="7"/>
  <c r="AH131" i="7"/>
  <c r="N132" i="7"/>
  <c r="O132" i="7"/>
  <c r="P132" i="7"/>
  <c r="Q132" i="7"/>
  <c r="R132" i="7"/>
  <c r="S132" i="7"/>
  <c r="T132" i="7"/>
  <c r="U132" i="7"/>
  <c r="W132" i="7"/>
  <c r="X132" i="7"/>
  <c r="Y132" i="7"/>
  <c r="Z132" i="7"/>
  <c r="AB132" i="7"/>
  <c r="AC132" i="7"/>
  <c r="AD132" i="7"/>
  <c r="AG132" i="7"/>
  <c r="AH132" i="7"/>
  <c r="N133" i="7"/>
  <c r="O133" i="7"/>
  <c r="P133" i="7"/>
  <c r="Q133" i="7"/>
  <c r="R133" i="7"/>
  <c r="S133" i="7"/>
  <c r="T133" i="7"/>
  <c r="U133" i="7"/>
  <c r="W133" i="7"/>
  <c r="X133" i="7"/>
  <c r="Y133" i="7"/>
  <c r="Z133" i="7"/>
  <c r="AB133" i="7"/>
  <c r="AC133" i="7"/>
  <c r="AD133" i="7"/>
  <c r="AG133" i="7"/>
  <c r="AH133" i="7"/>
  <c r="N134" i="7"/>
  <c r="O134" i="7"/>
  <c r="P134" i="7"/>
  <c r="Q134" i="7"/>
  <c r="R134" i="7"/>
  <c r="S134" i="7"/>
  <c r="T134" i="7"/>
  <c r="U134" i="7"/>
  <c r="W134" i="7"/>
  <c r="X134" i="7"/>
  <c r="Y134" i="7"/>
  <c r="Z134" i="7"/>
  <c r="AB134" i="7"/>
  <c r="AC134" i="7"/>
  <c r="AD134" i="7"/>
  <c r="AG134" i="7"/>
  <c r="AH134" i="7"/>
  <c r="N135" i="7"/>
  <c r="O135" i="7"/>
  <c r="P135" i="7"/>
  <c r="Q135" i="7"/>
  <c r="R135" i="7"/>
  <c r="S135" i="7"/>
  <c r="T135" i="7"/>
  <c r="U135" i="7"/>
  <c r="W135" i="7"/>
  <c r="X135" i="7"/>
  <c r="Y135" i="7"/>
  <c r="Z135" i="7"/>
  <c r="AB135" i="7"/>
  <c r="AC135" i="7"/>
  <c r="AD135" i="7"/>
  <c r="AG135" i="7"/>
  <c r="AH135" i="7"/>
  <c r="N136" i="7"/>
  <c r="O136" i="7"/>
  <c r="P136" i="7"/>
  <c r="Q136" i="7"/>
  <c r="R136" i="7"/>
  <c r="S136" i="7"/>
  <c r="T136" i="7"/>
  <c r="U136" i="7"/>
  <c r="W136" i="7"/>
  <c r="X136" i="7"/>
  <c r="Y136" i="7"/>
  <c r="Z136" i="7"/>
  <c r="AB136" i="7"/>
  <c r="AC136" i="7"/>
  <c r="AD136" i="7"/>
  <c r="AG136" i="7"/>
  <c r="AH136" i="7"/>
  <c r="N137" i="7"/>
  <c r="O137" i="7"/>
  <c r="P137" i="7"/>
  <c r="Q137" i="7"/>
  <c r="R137" i="7"/>
  <c r="S137" i="7"/>
  <c r="T137" i="7"/>
  <c r="U137" i="7"/>
  <c r="W137" i="7"/>
  <c r="X137" i="7"/>
  <c r="Y137" i="7"/>
  <c r="Z137" i="7"/>
  <c r="AB137" i="7"/>
  <c r="AC137" i="7"/>
  <c r="AD137" i="7"/>
  <c r="AG137" i="7"/>
  <c r="AH137" i="7"/>
  <c r="N138" i="7"/>
  <c r="O138" i="7"/>
  <c r="P138" i="7"/>
  <c r="Q138" i="7"/>
  <c r="R138" i="7"/>
  <c r="S138" i="7"/>
  <c r="T138" i="7"/>
  <c r="U138" i="7"/>
  <c r="W138" i="7"/>
  <c r="X138" i="7"/>
  <c r="Y138" i="7"/>
  <c r="Z138" i="7"/>
  <c r="AB138" i="7"/>
  <c r="AC138" i="7"/>
  <c r="AD138" i="7"/>
  <c r="AG138" i="7"/>
  <c r="AH138" i="7"/>
  <c r="N139" i="7"/>
  <c r="O139" i="7"/>
  <c r="P139" i="7"/>
  <c r="Q139" i="7"/>
  <c r="R139" i="7"/>
  <c r="S139" i="7"/>
  <c r="T139" i="7"/>
  <c r="U139" i="7"/>
  <c r="W139" i="7"/>
  <c r="X139" i="7"/>
  <c r="Y139" i="7"/>
  <c r="Z139" i="7"/>
  <c r="AB139" i="7"/>
  <c r="AC139" i="7"/>
  <c r="AD139" i="7"/>
  <c r="AG139" i="7"/>
  <c r="AH139" i="7"/>
  <c r="N140" i="7"/>
  <c r="O140" i="7"/>
  <c r="P140" i="7"/>
  <c r="Q140" i="7"/>
  <c r="R140" i="7"/>
  <c r="S140" i="7"/>
  <c r="T140" i="7"/>
  <c r="U140" i="7"/>
  <c r="W140" i="7"/>
  <c r="X140" i="7"/>
  <c r="Y140" i="7"/>
  <c r="Z140" i="7"/>
  <c r="AB140" i="7"/>
  <c r="AC140" i="7"/>
  <c r="AD140" i="7"/>
  <c r="AG140" i="7"/>
  <c r="AH140" i="7"/>
  <c r="N141" i="7"/>
  <c r="O141" i="7"/>
  <c r="P141" i="7"/>
  <c r="Q141" i="7"/>
  <c r="R141" i="7"/>
  <c r="S141" i="7"/>
  <c r="T141" i="7"/>
  <c r="U141" i="7"/>
  <c r="W141" i="7"/>
  <c r="X141" i="7"/>
  <c r="Y141" i="7"/>
  <c r="Z141" i="7"/>
  <c r="AB141" i="7"/>
  <c r="AC141" i="7"/>
  <c r="AD141" i="7"/>
  <c r="AG141" i="7"/>
  <c r="AH141" i="7"/>
  <c r="N142" i="7"/>
  <c r="O142" i="7"/>
  <c r="P142" i="7"/>
  <c r="Q142" i="7"/>
  <c r="R142" i="7"/>
  <c r="S142" i="7"/>
  <c r="T142" i="7"/>
  <c r="U142" i="7"/>
  <c r="W142" i="7"/>
  <c r="X142" i="7"/>
  <c r="Y142" i="7"/>
  <c r="Z142" i="7"/>
  <c r="AB142" i="7"/>
  <c r="AC142" i="7"/>
  <c r="AD142" i="7"/>
  <c r="AG142" i="7"/>
  <c r="AH142" i="7"/>
  <c r="N143" i="7"/>
  <c r="O143" i="7"/>
  <c r="P143" i="7"/>
  <c r="Q143" i="7"/>
  <c r="R143" i="7"/>
  <c r="S143" i="7"/>
  <c r="T143" i="7"/>
  <c r="U143" i="7"/>
  <c r="W143" i="7"/>
  <c r="X143" i="7"/>
  <c r="Y143" i="7"/>
  <c r="Z143" i="7"/>
  <c r="AB143" i="7"/>
  <c r="AC143" i="7"/>
  <c r="AD143" i="7"/>
  <c r="AG143" i="7"/>
  <c r="AH143" i="7"/>
  <c r="N144" i="7"/>
  <c r="O144" i="7"/>
  <c r="P144" i="7"/>
  <c r="Q144" i="7"/>
  <c r="R144" i="7"/>
  <c r="S144" i="7"/>
  <c r="T144" i="7"/>
  <c r="U144" i="7"/>
  <c r="W144" i="7"/>
  <c r="X144" i="7"/>
  <c r="Y144" i="7"/>
  <c r="Z144" i="7"/>
  <c r="AB144" i="7"/>
  <c r="AC144" i="7"/>
  <c r="AD144" i="7"/>
  <c r="AG144" i="7"/>
  <c r="AH144" i="7"/>
  <c r="N145" i="7"/>
  <c r="O145" i="7"/>
  <c r="P145" i="7"/>
  <c r="Q145" i="7"/>
  <c r="R145" i="7"/>
  <c r="S145" i="7"/>
  <c r="T145" i="7"/>
  <c r="U145" i="7"/>
  <c r="W145" i="7"/>
  <c r="X145" i="7"/>
  <c r="Y145" i="7"/>
  <c r="Z145" i="7"/>
  <c r="AB145" i="7"/>
  <c r="AC145" i="7"/>
  <c r="AD145" i="7"/>
  <c r="AG145" i="7"/>
  <c r="AH145" i="7"/>
  <c r="N146" i="7"/>
  <c r="O146" i="7"/>
  <c r="P146" i="7"/>
  <c r="Q146" i="7"/>
  <c r="R146" i="7"/>
  <c r="S146" i="7"/>
  <c r="T146" i="7"/>
  <c r="U146" i="7"/>
  <c r="W146" i="7"/>
  <c r="X146" i="7"/>
  <c r="Y146" i="7"/>
  <c r="Z146" i="7"/>
  <c r="AB146" i="7"/>
  <c r="AC146" i="7"/>
  <c r="AD146" i="7"/>
  <c r="AG146" i="7"/>
  <c r="AH146" i="7"/>
  <c r="N147" i="7"/>
  <c r="O147" i="7"/>
  <c r="P147" i="7"/>
  <c r="Q147" i="7"/>
  <c r="R147" i="7"/>
  <c r="S147" i="7"/>
  <c r="T147" i="7"/>
  <c r="U147" i="7"/>
  <c r="W147" i="7"/>
  <c r="X147" i="7"/>
  <c r="Y147" i="7"/>
  <c r="Z147" i="7"/>
  <c r="AB147" i="7"/>
  <c r="AC147" i="7"/>
  <c r="AD147" i="7"/>
  <c r="AG147" i="7"/>
  <c r="AH147" i="7"/>
  <c r="N148" i="7"/>
  <c r="O148" i="7"/>
  <c r="P148" i="7"/>
  <c r="Q148" i="7"/>
  <c r="R148" i="7"/>
  <c r="S148" i="7"/>
  <c r="T148" i="7"/>
  <c r="U148" i="7"/>
  <c r="W148" i="7"/>
  <c r="X148" i="7"/>
  <c r="Y148" i="7"/>
  <c r="Z148" i="7"/>
  <c r="AB148" i="7"/>
  <c r="AC148" i="7"/>
  <c r="AD148" i="7"/>
  <c r="AG148" i="7"/>
  <c r="AH148" i="7"/>
  <c r="N149" i="7"/>
  <c r="O149" i="7"/>
  <c r="P149" i="7"/>
  <c r="Q149" i="7"/>
  <c r="R149" i="7"/>
  <c r="S149" i="7"/>
  <c r="T149" i="7"/>
  <c r="U149" i="7"/>
  <c r="W149" i="7"/>
  <c r="X149" i="7"/>
  <c r="Y149" i="7"/>
  <c r="Z149" i="7"/>
  <c r="AB149" i="7"/>
  <c r="AC149" i="7"/>
  <c r="AD149" i="7"/>
  <c r="AG149" i="7"/>
  <c r="AH149" i="7"/>
  <c r="N150" i="7"/>
  <c r="O150" i="7"/>
  <c r="P150" i="7"/>
  <c r="Q150" i="7"/>
  <c r="R150" i="7"/>
  <c r="S150" i="7"/>
  <c r="T150" i="7"/>
  <c r="U150" i="7"/>
  <c r="W150" i="7"/>
  <c r="X150" i="7"/>
  <c r="Y150" i="7"/>
  <c r="Z150" i="7"/>
  <c r="AB150" i="7"/>
  <c r="AC150" i="7"/>
  <c r="AD150" i="7"/>
  <c r="AG150" i="7"/>
  <c r="AH150" i="7"/>
  <c r="N151" i="7"/>
  <c r="O151" i="7"/>
  <c r="P151" i="7"/>
  <c r="Q151" i="7"/>
  <c r="R151" i="7"/>
  <c r="S151" i="7"/>
  <c r="T151" i="7"/>
  <c r="U151" i="7"/>
  <c r="W151" i="7"/>
  <c r="X151" i="7"/>
  <c r="Y151" i="7"/>
  <c r="Z151" i="7"/>
  <c r="AB151" i="7"/>
  <c r="AC151" i="7"/>
  <c r="AD151" i="7"/>
  <c r="AG151" i="7"/>
  <c r="AH151" i="7"/>
  <c r="N152" i="7"/>
  <c r="O152" i="7"/>
  <c r="P152" i="7"/>
  <c r="Q152" i="7"/>
  <c r="R152" i="7"/>
  <c r="S152" i="7"/>
  <c r="T152" i="7"/>
  <c r="U152" i="7"/>
  <c r="W152" i="7"/>
  <c r="X152" i="7"/>
  <c r="Y152" i="7"/>
  <c r="Z152" i="7"/>
  <c r="AB152" i="7"/>
  <c r="AC152" i="7"/>
  <c r="AD152" i="7"/>
  <c r="AG152" i="7"/>
  <c r="AH152" i="7"/>
  <c r="N153" i="7"/>
  <c r="O153" i="7"/>
  <c r="P153" i="7"/>
  <c r="Q153" i="7"/>
  <c r="R153" i="7"/>
  <c r="S153" i="7"/>
  <c r="T153" i="7"/>
  <c r="U153" i="7"/>
  <c r="W153" i="7"/>
  <c r="X153" i="7"/>
  <c r="Y153" i="7"/>
  <c r="Z153" i="7"/>
  <c r="AB153" i="7"/>
  <c r="AC153" i="7"/>
  <c r="AD153" i="7"/>
  <c r="AG153" i="7"/>
  <c r="AH153" i="7"/>
  <c r="N154" i="7"/>
  <c r="O154" i="7"/>
  <c r="P154" i="7"/>
  <c r="Q154" i="7"/>
  <c r="R154" i="7"/>
  <c r="S154" i="7"/>
  <c r="T154" i="7"/>
  <c r="U154" i="7"/>
  <c r="W154" i="7"/>
  <c r="X154" i="7"/>
  <c r="Y154" i="7"/>
  <c r="Z154" i="7"/>
  <c r="AB154" i="7"/>
  <c r="AC154" i="7"/>
  <c r="AD154" i="7"/>
  <c r="AG154" i="7"/>
  <c r="AH154" i="7"/>
  <c r="N155" i="7"/>
  <c r="O155" i="7"/>
  <c r="P155" i="7"/>
  <c r="Q155" i="7"/>
  <c r="R155" i="7"/>
  <c r="S155" i="7"/>
  <c r="T155" i="7"/>
  <c r="U155" i="7"/>
  <c r="W155" i="7"/>
  <c r="X155" i="7"/>
  <c r="Y155" i="7"/>
  <c r="Z155" i="7"/>
  <c r="AB155" i="7"/>
  <c r="AC155" i="7"/>
  <c r="AD155" i="7"/>
  <c r="AG155" i="7"/>
  <c r="AH155" i="7"/>
  <c r="N156" i="7"/>
  <c r="O156" i="7"/>
  <c r="P156" i="7"/>
  <c r="Q156" i="7"/>
  <c r="R156" i="7"/>
  <c r="S156" i="7"/>
  <c r="T156" i="7"/>
  <c r="U156" i="7"/>
  <c r="W156" i="7"/>
  <c r="X156" i="7"/>
  <c r="Y156" i="7"/>
  <c r="Z156" i="7"/>
  <c r="AB156" i="7"/>
  <c r="AC156" i="7"/>
  <c r="AD156" i="7"/>
  <c r="AG156" i="7"/>
  <c r="AH156" i="7"/>
  <c r="N157" i="7"/>
  <c r="O157" i="7"/>
  <c r="P157" i="7"/>
  <c r="Q157" i="7"/>
  <c r="R157" i="7"/>
  <c r="S157" i="7"/>
  <c r="T157" i="7"/>
  <c r="U157" i="7"/>
  <c r="W157" i="7"/>
  <c r="X157" i="7"/>
  <c r="Y157" i="7"/>
  <c r="Z157" i="7"/>
  <c r="AB157" i="7"/>
  <c r="AC157" i="7"/>
  <c r="AD157" i="7"/>
  <c r="AG157" i="7"/>
  <c r="AH157" i="7"/>
  <c r="N158" i="7"/>
  <c r="O158" i="7"/>
  <c r="P158" i="7"/>
  <c r="Q158" i="7"/>
  <c r="R158" i="7"/>
  <c r="S158" i="7"/>
  <c r="T158" i="7"/>
  <c r="U158" i="7"/>
  <c r="W158" i="7"/>
  <c r="X158" i="7"/>
  <c r="Y158" i="7"/>
  <c r="Z158" i="7"/>
  <c r="AB158" i="7"/>
  <c r="AC158" i="7"/>
  <c r="AD158" i="7"/>
  <c r="AG158" i="7"/>
  <c r="AH158" i="7"/>
  <c r="N159" i="7"/>
  <c r="O159" i="7"/>
  <c r="P159" i="7"/>
  <c r="Q159" i="7"/>
  <c r="R159" i="7"/>
  <c r="S159" i="7"/>
  <c r="T159" i="7"/>
  <c r="U159" i="7"/>
  <c r="W159" i="7"/>
  <c r="X159" i="7"/>
  <c r="Y159" i="7"/>
  <c r="Z159" i="7"/>
  <c r="AB159" i="7"/>
  <c r="AC159" i="7"/>
  <c r="AD159" i="7"/>
  <c r="AG159" i="7"/>
  <c r="AH159" i="7"/>
  <c r="N160" i="7"/>
  <c r="O160" i="7"/>
  <c r="P160" i="7"/>
  <c r="Q160" i="7"/>
  <c r="R160" i="7"/>
  <c r="S160" i="7"/>
  <c r="T160" i="7"/>
  <c r="U160" i="7"/>
  <c r="W160" i="7"/>
  <c r="X160" i="7"/>
  <c r="Y160" i="7"/>
  <c r="Z160" i="7"/>
  <c r="AB160" i="7"/>
  <c r="AC160" i="7"/>
  <c r="AD160" i="7"/>
  <c r="AG160" i="7"/>
  <c r="AH160" i="7"/>
  <c r="N161" i="7"/>
  <c r="O161" i="7"/>
  <c r="P161" i="7"/>
  <c r="Q161" i="7"/>
  <c r="R161" i="7"/>
  <c r="S161" i="7"/>
  <c r="T161" i="7"/>
  <c r="U161" i="7"/>
  <c r="W161" i="7"/>
  <c r="X161" i="7"/>
  <c r="Y161" i="7"/>
  <c r="Z161" i="7"/>
  <c r="AB161" i="7"/>
  <c r="AC161" i="7"/>
  <c r="AD161" i="7"/>
  <c r="AG161" i="7"/>
  <c r="AH161" i="7"/>
  <c r="N162" i="7"/>
  <c r="O162" i="7"/>
  <c r="P162" i="7"/>
  <c r="Q162" i="7"/>
  <c r="R162" i="7"/>
  <c r="S162" i="7"/>
  <c r="T162" i="7"/>
  <c r="U162" i="7"/>
  <c r="W162" i="7"/>
  <c r="X162" i="7"/>
  <c r="Y162" i="7"/>
  <c r="Z162" i="7"/>
  <c r="AB162" i="7"/>
  <c r="AC162" i="7"/>
  <c r="AD162" i="7"/>
  <c r="AG162" i="7"/>
  <c r="AH162" i="7"/>
  <c r="N163" i="7"/>
  <c r="O163" i="7"/>
  <c r="P163" i="7"/>
  <c r="Q163" i="7"/>
  <c r="R163" i="7"/>
  <c r="S163" i="7"/>
  <c r="T163" i="7"/>
  <c r="U163" i="7"/>
  <c r="W163" i="7"/>
  <c r="X163" i="7"/>
  <c r="Y163" i="7"/>
  <c r="Z163" i="7"/>
  <c r="AB163" i="7"/>
  <c r="AC163" i="7"/>
  <c r="AD163" i="7"/>
  <c r="AG163" i="7"/>
  <c r="AH163" i="7"/>
  <c r="N164" i="7"/>
  <c r="O164" i="7"/>
  <c r="P164" i="7"/>
  <c r="Q164" i="7"/>
  <c r="R164" i="7"/>
  <c r="S164" i="7"/>
  <c r="T164" i="7"/>
  <c r="U164" i="7"/>
  <c r="W164" i="7"/>
  <c r="X164" i="7"/>
  <c r="Y164" i="7"/>
  <c r="Z164" i="7"/>
  <c r="AB164" i="7"/>
  <c r="AC164" i="7"/>
  <c r="AD164" i="7"/>
  <c r="AG164" i="7"/>
  <c r="AH164" i="7"/>
  <c r="N165" i="7"/>
  <c r="O165" i="7"/>
  <c r="P165" i="7"/>
  <c r="Q165" i="7"/>
  <c r="R165" i="7"/>
  <c r="S165" i="7"/>
  <c r="T165" i="7"/>
  <c r="U165" i="7"/>
  <c r="W165" i="7"/>
  <c r="X165" i="7"/>
  <c r="Y165" i="7"/>
  <c r="Z165" i="7"/>
  <c r="AB165" i="7"/>
  <c r="AC165" i="7"/>
  <c r="AD165" i="7"/>
  <c r="AG165" i="7"/>
  <c r="AH165" i="7"/>
  <c r="N166" i="7"/>
  <c r="O166" i="7"/>
  <c r="P166" i="7"/>
  <c r="Q166" i="7"/>
  <c r="R166" i="7"/>
  <c r="S166" i="7"/>
  <c r="T166" i="7"/>
  <c r="U166" i="7"/>
  <c r="W166" i="7"/>
  <c r="X166" i="7"/>
  <c r="Y166" i="7"/>
  <c r="Z166" i="7"/>
  <c r="AB166" i="7"/>
  <c r="AC166" i="7"/>
  <c r="AD166" i="7"/>
  <c r="AG166" i="7"/>
  <c r="AH166" i="7"/>
  <c r="N167" i="7"/>
  <c r="O167" i="7"/>
  <c r="P167" i="7"/>
  <c r="Q167" i="7"/>
  <c r="R167" i="7"/>
  <c r="S167" i="7"/>
  <c r="T167" i="7"/>
  <c r="U167" i="7"/>
  <c r="W167" i="7"/>
  <c r="X167" i="7"/>
  <c r="Y167" i="7"/>
  <c r="Z167" i="7"/>
  <c r="AB167" i="7"/>
  <c r="AC167" i="7"/>
  <c r="AD167" i="7"/>
  <c r="AG167" i="7"/>
  <c r="AH167" i="7"/>
  <c r="N168" i="7"/>
  <c r="O168" i="7"/>
  <c r="P168" i="7"/>
  <c r="Q168" i="7"/>
  <c r="R168" i="7"/>
  <c r="S168" i="7"/>
  <c r="T168" i="7"/>
  <c r="U168" i="7"/>
  <c r="W168" i="7"/>
  <c r="X168" i="7"/>
  <c r="Y168" i="7"/>
  <c r="Z168" i="7"/>
  <c r="AB168" i="7"/>
  <c r="AC168" i="7"/>
  <c r="AD168" i="7"/>
  <c r="AG168" i="7"/>
  <c r="AH168" i="7"/>
  <c r="N169" i="7"/>
  <c r="O169" i="7"/>
  <c r="P169" i="7"/>
  <c r="Q169" i="7"/>
  <c r="R169" i="7"/>
  <c r="S169" i="7"/>
  <c r="T169" i="7"/>
  <c r="U169" i="7"/>
  <c r="W169" i="7"/>
  <c r="X169" i="7"/>
  <c r="Y169" i="7"/>
  <c r="Z169" i="7"/>
  <c r="AB169" i="7"/>
  <c r="AC169" i="7"/>
  <c r="AD169" i="7"/>
  <c r="AG169" i="7"/>
  <c r="AH169" i="7"/>
  <c r="N170" i="7"/>
  <c r="O170" i="7"/>
  <c r="P170" i="7"/>
  <c r="Q170" i="7"/>
  <c r="R170" i="7"/>
  <c r="S170" i="7"/>
  <c r="T170" i="7"/>
  <c r="U170" i="7"/>
  <c r="W170" i="7"/>
  <c r="X170" i="7"/>
  <c r="Y170" i="7"/>
  <c r="Z170" i="7"/>
  <c r="AB170" i="7"/>
  <c r="AC170" i="7"/>
  <c r="AD170" i="7"/>
  <c r="AG170" i="7"/>
  <c r="AH170" i="7"/>
  <c r="N171" i="7"/>
  <c r="O171" i="7"/>
  <c r="P171" i="7"/>
  <c r="Q171" i="7"/>
  <c r="R171" i="7"/>
  <c r="S171" i="7"/>
  <c r="T171" i="7"/>
  <c r="U171" i="7"/>
  <c r="W171" i="7"/>
  <c r="X171" i="7"/>
  <c r="Y171" i="7"/>
  <c r="Z171" i="7"/>
  <c r="AB171" i="7"/>
  <c r="AC171" i="7"/>
  <c r="AD171" i="7"/>
  <c r="AG171" i="7"/>
  <c r="AH171" i="7"/>
  <c r="N172" i="7"/>
  <c r="O172" i="7"/>
  <c r="P172" i="7"/>
  <c r="Q172" i="7"/>
  <c r="R172" i="7"/>
  <c r="S172" i="7"/>
  <c r="T172" i="7"/>
  <c r="U172" i="7"/>
  <c r="W172" i="7"/>
  <c r="X172" i="7"/>
  <c r="Y172" i="7"/>
  <c r="Z172" i="7"/>
  <c r="AB172" i="7"/>
  <c r="AC172" i="7"/>
  <c r="AD172" i="7"/>
  <c r="AG172" i="7"/>
  <c r="AH172" i="7"/>
  <c r="N173" i="7"/>
  <c r="O173" i="7"/>
  <c r="P173" i="7"/>
  <c r="Q173" i="7"/>
  <c r="R173" i="7"/>
  <c r="S173" i="7"/>
  <c r="T173" i="7"/>
  <c r="U173" i="7"/>
  <c r="W173" i="7"/>
  <c r="X173" i="7"/>
  <c r="Y173" i="7"/>
  <c r="Z173" i="7"/>
  <c r="AB173" i="7"/>
  <c r="AC173" i="7"/>
  <c r="AD173" i="7"/>
  <c r="AG173" i="7"/>
  <c r="AH173" i="7"/>
  <c r="N174" i="7"/>
  <c r="O174" i="7"/>
  <c r="P174" i="7"/>
  <c r="Q174" i="7"/>
  <c r="R174" i="7"/>
  <c r="S174" i="7"/>
  <c r="T174" i="7"/>
  <c r="U174" i="7"/>
  <c r="W174" i="7"/>
  <c r="X174" i="7"/>
  <c r="Y174" i="7"/>
  <c r="Z174" i="7"/>
  <c r="AB174" i="7"/>
  <c r="AC174" i="7"/>
  <c r="AD174" i="7"/>
  <c r="AG174" i="7"/>
  <c r="AH174" i="7"/>
  <c r="N175" i="7"/>
  <c r="O175" i="7"/>
  <c r="P175" i="7"/>
  <c r="Q175" i="7"/>
  <c r="R175" i="7"/>
  <c r="S175" i="7"/>
  <c r="T175" i="7"/>
  <c r="U175" i="7"/>
  <c r="W175" i="7"/>
  <c r="X175" i="7"/>
  <c r="Y175" i="7"/>
  <c r="Z175" i="7"/>
  <c r="AB175" i="7"/>
  <c r="AC175" i="7"/>
  <c r="AD175" i="7"/>
  <c r="AG175" i="7"/>
  <c r="AH175" i="7"/>
  <c r="N176" i="7"/>
  <c r="O176" i="7"/>
  <c r="P176" i="7"/>
  <c r="Q176" i="7"/>
  <c r="R176" i="7"/>
  <c r="S176" i="7"/>
  <c r="T176" i="7"/>
  <c r="U176" i="7"/>
  <c r="W176" i="7"/>
  <c r="X176" i="7"/>
  <c r="Y176" i="7"/>
  <c r="Z176" i="7"/>
  <c r="AB176" i="7"/>
  <c r="AC176" i="7"/>
  <c r="AD176" i="7"/>
  <c r="AG176" i="7"/>
  <c r="AH176" i="7"/>
  <c r="N177" i="7"/>
  <c r="O177" i="7"/>
  <c r="P177" i="7"/>
  <c r="Q177" i="7"/>
  <c r="R177" i="7"/>
  <c r="S177" i="7"/>
  <c r="T177" i="7"/>
  <c r="U177" i="7"/>
  <c r="W177" i="7"/>
  <c r="X177" i="7"/>
  <c r="Y177" i="7"/>
  <c r="Z177" i="7"/>
  <c r="AB177" i="7"/>
  <c r="AC177" i="7"/>
  <c r="AD177" i="7"/>
  <c r="AG177" i="7"/>
  <c r="AH177" i="7"/>
  <c r="N178" i="7"/>
  <c r="O178" i="7"/>
  <c r="P178" i="7"/>
  <c r="Q178" i="7"/>
  <c r="R178" i="7"/>
  <c r="S178" i="7"/>
  <c r="T178" i="7"/>
  <c r="U178" i="7"/>
  <c r="W178" i="7"/>
  <c r="X178" i="7"/>
  <c r="Y178" i="7"/>
  <c r="Z178" i="7"/>
  <c r="AB178" i="7"/>
  <c r="AC178" i="7"/>
  <c r="AD178" i="7"/>
  <c r="AG178" i="7"/>
  <c r="AH178" i="7"/>
  <c r="N179" i="7"/>
  <c r="O179" i="7"/>
  <c r="P179" i="7"/>
  <c r="Q179" i="7"/>
  <c r="R179" i="7"/>
  <c r="S179" i="7"/>
  <c r="T179" i="7"/>
  <c r="U179" i="7"/>
  <c r="W179" i="7"/>
  <c r="X179" i="7"/>
  <c r="Y179" i="7"/>
  <c r="Z179" i="7"/>
  <c r="AB179" i="7"/>
  <c r="AC179" i="7"/>
  <c r="AD179" i="7"/>
  <c r="AG179" i="7"/>
  <c r="AH179" i="7"/>
  <c r="N180" i="7"/>
  <c r="O180" i="7"/>
  <c r="P180" i="7"/>
  <c r="Q180" i="7"/>
  <c r="R180" i="7"/>
  <c r="S180" i="7"/>
  <c r="T180" i="7"/>
  <c r="U180" i="7"/>
  <c r="W180" i="7"/>
  <c r="X180" i="7"/>
  <c r="Y180" i="7"/>
  <c r="Z180" i="7"/>
  <c r="AB180" i="7"/>
  <c r="AC180" i="7"/>
  <c r="AD180" i="7"/>
  <c r="AG180" i="7"/>
  <c r="AH180" i="7"/>
  <c r="N181" i="7"/>
  <c r="O181" i="7"/>
  <c r="P181" i="7"/>
  <c r="Q181" i="7"/>
  <c r="R181" i="7"/>
  <c r="S181" i="7"/>
  <c r="T181" i="7"/>
  <c r="U181" i="7"/>
  <c r="W181" i="7"/>
  <c r="X181" i="7"/>
  <c r="Y181" i="7"/>
  <c r="Z181" i="7"/>
  <c r="AB181" i="7"/>
  <c r="AC181" i="7"/>
  <c r="AD181" i="7"/>
  <c r="AG181" i="7"/>
  <c r="AH181" i="7"/>
  <c r="N182" i="7"/>
  <c r="O182" i="7"/>
  <c r="P182" i="7"/>
  <c r="Q182" i="7"/>
  <c r="R182" i="7"/>
  <c r="S182" i="7"/>
  <c r="T182" i="7"/>
  <c r="U182" i="7"/>
  <c r="W182" i="7"/>
  <c r="X182" i="7"/>
  <c r="Y182" i="7"/>
  <c r="Z182" i="7"/>
  <c r="AB182" i="7"/>
  <c r="AC182" i="7"/>
  <c r="AD182" i="7"/>
  <c r="AG182" i="7"/>
  <c r="AH182" i="7"/>
  <c r="N183" i="7"/>
  <c r="O183" i="7"/>
  <c r="P183" i="7"/>
  <c r="Q183" i="7"/>
  <c r="R183" i="7"/>
  <c r="S183" i="7"/>
  <c r="T183" i="7"/>
  <c r="U183" i="7"/>
  <c r="W183" i="7"/>
  <c r="X183" i="7"/>
  <c r="Y183" i="7"/>
  <c r="Z183" i="7"/>
  <c r="AB183" i="7"/>
  <c r="AC183" i="7"/>
  <c r="AD183" i="7"/>
  <c r="AG183" i="7"/>
  <c r="AH183" i="7"/>
  <c r="N184" i="7"/>
  <c r="O184" i="7"/>
  <c r="P184" i="7"/>
  <c r="Q184" i="7"/>
  <c r="R184" i="7"/>
  <c r="S184" i="7"/>
  <c r="T184" i="7"/>
  <c r="U184" i="7"/>
  <c r="W184" i="7"/>
  <c r="X184" i="7"/>
  <c r="Y184" i="7"/>
  <c r="Z184" i="7"/>
  <c r="AB184" i="7"/>
  <c r="AC184" i="7"/>
  <c r="AD184" i="7"/>
  <c r="AG184" i="7"/>
  <c r="AH184" i="7"/>
  <c r="N185" i="7"/>
  <c r="O185" i="7"/>
  <c r="P185" i="7"/>
  <c r="Q185" i="7"/>
  <c r="R185" i="7"/>
  <c r="S185" i="7"/>
  <c r="T185" i="7"/>
  <c r="U185" i="7"/>
  <c r="W185" i="7"/>
  <c r="X185" i="7"/>
  <c r="Y185" i="7"/>
  <c r="Z185" i="7"/>
  <c r="AB185" i="7"/>
  <c r="AC185" i="7"/>
  <c r="AD185" i="7"/>
  <c r="AG185" i="7"/>
  <c r="AH185" i="7"/>
  <c r="N186" i="7"/>
  <c r="O186" i="7"/>
  <c r="P186" i="7"/>
  <c r="Q186" i="7"/>
  <c r="R186" i="7"/>
  <c r="S186" i="7"/>
  <c r="T186" i="7"/>
  <c r="U186" i="7"/>
  <c r="W186" i="7"/>
  <c r="X186" i="7"/>
  <c r="Y186" i="7"/>
  <c r="Z186" i="7"/>
  <c r="AB186" i="7"/>
  <c r="AC186" i="7"/>
  <c r="AD186" i="7"/>
  <c r="AG186" i="7"/>
  <c r="AH186" i="7"/>
  <c r="N187" i="7"/>
  <c r="O187" i="7"/>
  <c r="P187" i="7"/>
  <c r="Q187" i="7"/>
  <c r="R187" i="7"/>
  <c r="S187" i="7"/>
  <c r="T187" i="7"/>
  <c r="U187" i="7"/>
  <c r="W187" i="7"/>
  <c r="X187" i="7"/>
  <c r="Y187" i="7"/>
  <c r="Z187" i="7"/>
  <c r="AB187" i="7"/>
  <c r="AC187" i="7"/>
  <c r="AD187" i="7"/>
  <c r="AG187" i="7"/>
  <c r="AH187" i="7"/>
  <c r="N188" i="7"/>
  <c r="O188" i="7"/>
  <c r="P188" i="7"/>
  <c r="Q188" i="7"/>
  <c r="R188" i="7"/>
  <c r="S188" i="7"/>
  <c r="T188" i="7"/>
  <c r="U188" i="7"/>
  <c r="W188" i="7"/>
  <c r="X188" i="7"/>
  <c r="Y188" i="7"/>
  <c r="Z188" i="7"/>
  <c r="AB188" i="7"/>
  <c r="AC188" i="7"/>
  <c r="AD188" i="7"/>
  <c r="AG188" i="7"/>
  <c r="AH188" i="7"/>
  <c r="N189" i="7"/>
  <c r="O189" i="7"/>
  <c r="P189" i="7"/>
  <c r="Q189" i="7"/>
  <c r="R189" i="7"/>
  <c r="S189" i="7"/>
  <c r="T189" i="7"/>
  <c r="U189" i="7"/>
  <c r="W189" i="7"/>
  <c r="X189" i="7"/>
  <c r="Y189" i="7"/>
  <c r="Z189" i="7"/>
  <c r="AB189" i="7"/>
  <c r="AC189" i="7"/>
  <c r="AD189" i="7"/>
  <c r="AG189" i="7"/>
  <c r="AH189" i="7"/>
  <c r="N190" i="7"/>
  <c r="O190" i="7"/>
  <c r="P190" i="7"/>
  <c r="Q190" i="7"/>
  <c r="R190" i="7"/>
  <c r="S190" i="7"/>
  <c r="T190" i="7"/>
  <c r="U190" i="7"/>
  <c r="W190" i="7"/>
  <c r="X190" i="7"/>
  <c r="Y190" i="7"/>
  <c r="Z190" i="7"/>
  <c r="AB190" i="7"/>
  <c r="AC190" i="7"/>
  <c r="AD190" i="7"/>
  <c r="AG190" i="7"/>
  <c r="AH190" i="7"/>
  <c r="N191" i="7"/>
  <c r="O191" i="7"/>
  <c r="P191" i="7"/>
  <c r="Q191" i="7"/>
  <c r="R191" i="7"/>
  <c r="S191" i="7"/>
  <c r="T191" i="7"/>
  <c r="U191" i="7"/>
  <c r="W191" i="7"/>
  <c r="X191" i="7"/>
  <c r="Y191" i="7"/>
  <c r="Z191" i="7"/>
  <c r="AB191" i="7"/>
  <c r="AC191" i="7"/>
  <c r="AD191" i="7"/>
  <c r="AG191" i="7"/>
  <c r="AH191" i="7"/>
  <c r="N192" i="7"/>
  <c r="O192" i="7"/>
  <c r="P192" i="7"/>
  <c r="Q192" i="7"/>
  <c r="R192" i="7"/>
  <c r="S192" i="7"/>
  <c r="T192" i="7"/>
  <c r="U192" i="7"/>
  <c r="W192" i="7"/>
  <c r="X192" i="7"/>
  <c r="Y192" i="7"/>
  <c r="Z192" i="7"/>
  <c r="AB192" i="7"/>
  <c r="AC192" i="7"/>
  <c r="AD192" i="7"/>
  <c r="AG192" i="7"/>
  <c r="AH192" i="7"/>
  <c r="N193" i="7"/>
  <c r="O193" i="7"/>
  <c r="P193" i="7"/>
  <c r="Q193" i="7"/>
  <c r="R193" i="7"/>
  <c r="S193" i="7"/>
  <c r="T193" i="7"/>
  <c r="U193" i="7"/>
  <c r="W193" i="7"/>
  <c r="X193" i="7"/>
  <c r="Y193" i="7"/>
  <c r="Z193" i="7"/>
  <c r="AB193" i="7"/>
  <c r="AC193" i="7"/>
  <c r="AD193" i="7"/>
  <c r="AG193" i="7"/>
  <c r="AH193" i="7"/>
  <c r="N194" i="7"/>
  <c r="O194" i="7"/>
  <c r="P194" i="7"/>
  <c r="Q194" i="7"/>
  <c r="R194" i="7"/>
  <c r="S194" i="7"/>
  <c r="T194" i="7"/>
  <c r="U194" i="7"/>
  <c r="W194" i="7"/>
  <c r="X194" i="7"/>
  <c r="Y194" i="7"/>
  <c r="Z194" i="7"/>
  <c r="AB194" i="7"/>
  <c r="AC194" i="7"/>
  <c r="AD194" i="7"/>
  <c r="AG194" i="7"/>
  <c r="AH194" i="7"/>
  <c r="N195" i="7"/>
  <c r="O195" i="7"/>
  <c r="P195" i="7"/>
  <c r="Q195" i="7"/>
  <c r="R195" i="7"/>
  <c r="S195" i="7"/>
  <c r="T195" i="7"/>
  <c r="U195" i="7"/>
  <c r="W195" i="7"/>
  <c r="X195" i="7"/>
  <c r="Y195" i="7"/>
  <c r="Z195" i="7"/>
  <c r="AB195" i="7"/>
  <c r="AC195" i="7"/>
  <c r="AD195" i="7"/>
  <c r="AG195" i="7"/>
  <c r="AH195" i="7"/>
  <c r="N196" i="7"/>
  <c r="O196" i="7"/>
  <c r="P196" i="7"/>
  <c r="Q196" i="7"/>
  <c r="R196" i="7"/>
  <c r="S196" i="7"/>
  <c r="T196" i="7"/>
  <c r="U196" i="7"/>
  <c r="W196" i="7"/>
  <c r="X196" i="7"/>
  <c r="Y196" i="7"/>
  <c r="Z196" i="7"/>
  <c r="AB196" i="7"/>
  <c r="AC196" i="7"/>
  <c r="AD196" i="7"/>
  <c r="AG196" i="7"/>
  <c r="AH196" i="7"/>
  <c r="N197" i="7"/>
  <c r="O197" i="7"/>
  <c r="P197" i="7"/>
  <c r="Q197" i="7"/>
  <c r="R197" i="7"/>
  <c r="S197" i="7"/>
  <c r="T197" i="7"/>
  <c r="U197" i="7"/>
  <c r="W197" i="7"/>
  <c r="X197" i="7"/>
  <c r="Y197" i="7"/>
  <c r="Z197" i="7"/>
  <c r="AB197" i="7"/>
  <c r="AC197" i="7"/>
  <c r="AD197" i="7"/>
  <c r="AG197" i="7"/>
  <c r="AH197" i="7"/>
  <c r="N198" i="7"/>
  <c r="O198" i="7"/>
  <c r="P198" i="7"/>
  <c r="Q198" i="7"/>
  <c r="R198" i="7"/>
  <c r="S198" i="7"/>
  <c r="T198" i="7"/>
  <c r="U198" i="7"/>
  <c r="W198" i="7"/>
  <c r="X198" i="7"/>
  <c r="Y198" i="7"/>
  <c r="Z198" i="7"/>
  <c r="AB198" i="7"/>
  <c r="AC198" i="7"/>
  <c r="AD198" i="7"/>
  <c r="AG198" i="7"/>
  <c r="AH198" i="7"/>
  <c r="N199" i="7"/>
  <c r="O199" i="7"/>
  <c r="P199" i="7"/>
  <c r="Q199" i="7"/>
  <c r="R199" i="7"/>
  <c r="S199" i="7"/>
  <c r="T199" i="7"/>
  <c r="U199" i="7"/>
  <c r="W199" i="7"/>
  <c r="X199" i="7"/>
  <c r="Y199" i="7"/>
  <c r="Z199" i="7"/>
  <c r="AB199" i="7"/>
  <c r="AC199" i="7"/>
  <c r="AD199" i="7"/>
  <c r="AG199" i="7"/>
  <c r="AH199" i="7"/>
  <c r="N200" i="7"/>
  <c r="O200" i="7"/>
  <c r="P200" i="7"/>
  <c r="Q200" i="7"/>
  <c r="R200" i="7"/>
  <c r="S200" i="7"/>
  <c r="T200" i="7"/>
  <c r="U200" i="7"/>
  <c r="W200" i="7"/>
  <c r="X200" i="7"/>
  <c r="Y200" i="7"/>
  <c r="Z200" i="7"/>
  <c r="AB200" i="7"/>
  <c r="AC200" i="7"/>
  <c r="AD200" i="7"/>
  <c r="AG200" i="7"/>
  <c r="AH200" i="7"/>
  <c r="N201" i="7"/>
  <c r="O201" i="7"/>
  <c r="P201" i="7"/>
  <c r="Q201" i="7"/>
  <c r="R201" i="7"/>
  <c r="S201" i="7"/>
  <c r="T201" i="7"/>
  <c r="U201" i="7"/>
  <c r="W201" i="7"/>
  <c r="X201" i="7"/>
  <c r="Y201" i="7"/>
  <c r="Z201" i="7"/>
  <c r="AB201" i="7"/>
  <c r="AC201" i="7"/>
  <c r="AD201" i="7"/>
  <c r="AG201" i="7"/>
  <c r="AH201" i="7"/>
  <c r="N202" i="7"/>
  <c r="O202" i="7"/>
  <c r="P202" i="7"/>
  <c r="Q202" i="7"/>
  <c r="R202" i="7"/>
  <c r="S202" i="7"/>
  <c r="T202" i="7"/>
  <c r="U202" i="7"/>
  <c r="W202" i="7"/>
  <c r="X202" i="7"/>
  <c r="Y202" i="7"/>
  <c r="Z202" i="7"/>
  <c r="AB202" i="7"/>
  <c r="AC202" i="7"/>
  <c r="AD202" i="7"/>
  <c r="AG202" i="7"/>
  <c r="AH202" i="7"/>
  <c r="N203" i="7"/>
  <c r="O203" i="7"/>
  <c r="P203" i="7"/>
  <c r="Q203" i="7"/>
  <c r="R203" i="7"/>
  <c r="S203" i="7"/>
  <c r="T203" i="7"/>
  <c r="U203" i="7"/>
  <c r="W203" i="7"/>
  <c r="X203" i="7"/>
  <c r="Y203" i="7"/>
  <c r="Z203" i="7"/>
  <c r="AB203" i="7"/>
  <c r="AC203" i="7"/>
  <c r="AD203" i="7"/>
  <c r="AG203" i="7"/>
  <c r="AH203" i="7"/>
  <c r="N204" i="7"/>
  <c r="O204" i="7"/>
  <c r="P204" i="7"/>
  <c r="Q204" i="7"/>
  <c r="R204" i="7"/>
  <c r="S204" i="7"/>
  <c r="T204" i="7"/>
  <c r="U204" i="7"/>
  <c r="W204" i="7"/>
  <c r="X204" i="7"/>
  <c r="Y204" i="7"/>
  <c r="Z204" i="7"/>
  <c r="AB204" i="7"/>
  <c r="AC204" i="7"/>
  <c r="AD204" i="7"/>
  <c r="AG204" i="7"/>
  <c r="AH204" i="7"/>
  <c r="N205" i="7"/>
  <c r="O205" i="7"/>
  <c r="P205" i="7"/>
  <c r="Q205" i="7"/>
  <c r="R205" i="7"/>
  <c r="S205" i="7"/>
  <c r="T205" i="7"/>
  <c r="U205" i="7"/>
  <c r="W205" i="7"/>
  <c r="X205" i="7"/>
  <c r="Y205" i="7"/>
  <c r="Z205" i="7"/>
  <c r="AB205" i="7"/>
  <c r="AC205" i="7"/>
  <c r="AD205" i="7"/>
  <c r="AG205" i="7"/>
  <c r="AH205" i="7"/>
  <c r="N206" i="7"/>
  <c r="O206" i="7"/>
  <c r="P206" i="7"/>
  <c r="Q206" i="7"/>
  <c r="R206" i="7"/>
  <c r="S206" i="7"/>
  <c r="T206" i="7"/>
  <c r="U206" i="7"/>
  <c r="W206" i="7"/>
  <c r="X206" i="7"/>
  <c r="Y206" i="7"/>
  <c r="Z206" i="7"/>
  <c r="AB206" i="7"/>
  <c r="AC206" i="7"/>
  <c r="AD206" i="7"/>
  <c r="AG206" i="7"/>
  <c r="AH206" i="7"/>
  <c r="N207" i="7"/>
  <c r="O207" i="7"/>
  <c r="P207" i="7"/>
  <c r="Q207" i="7"/>
  <c r="R207" i="7"/>
  <c r="S207" i="7"/>
  <c r="T207" i="7"/>
  <c r="U207" i="7"/>
  <c r="W207" i="7"/>
  <c r="X207" i="7"/>
  <c r="Y207" i="7"/>
  <c r="Z207" i="7"/>
  <c r="AB207" i="7"/>
  <c r="AC207" i="7"/>
  <c r="AD207" i="7"/>
  <c r="AG207" i="7"/>
  <c r="AH207" i="7"/>
  <c r="N208" i="7"/>
  <c r="O208" i="7"/>
  <c r="P208" i="7"/>
  <c r="Q208" i="7"/>
  <c r="R208" i="7"/>
  <c r="S208" i="7"/>
  <c r="T208" i="7"/>
  <c r="U208" i="7"/>
  <c r="W208" i="7"/>
  <c r="X208" i="7"/>
  <c r="Y208" i="7"/>
  <c r="Z208" i="7"/>
  <c r="AB208" i="7"/>
  <c r="AC208" i="7"/>
  <c r="AD208" i="7"/>
  <c r="AG208" i="7"/>
  <c r="AH208" i="7"/>
  <c r="N209" i="7"/>
  <c r="O209" i="7"/>
  <c r="P209" i="7"/>
  <c r="Q209" i="7"/>
  <c r="R209" i="7"/>
  <c r="S209" i="7"/>
  <c r="T209" i="7"/>
  <c r="U209" i="7"/>
  <c r="W209" i="7"/>
  <c r="X209" i="7"/>
  <c r="Y209" i="7"/>
  <c r="Z209" i="7"/>
  <c r="AB209" i="7"/>
  <c r="AC209" i="7"/>
  <c r="AD209" i="7"/>
  <c r="AG209" i="7"/>
  <c r="AH209" i="7"/>
  <c r="N210" i="7"/>
  <c r="O210" i="7"/>
  <c r="P210" i="7"/>
  <c r="Q210" i="7"/>
  <c r="R210" i="7"/>
  <c r="S210" i="7"/>
  <c r="T210" i="7"/>
  <c r="U210" i="7"/>
  <c r="W210" i="7"/>
  <c r="X210" i="7"/>
  <c r="Y210" i="7"/>
  <c r="Z210" i="7"/>
  <c r="AB210" i="7"/>
  <c r="AC210" i="7"/>
  <c r="AD210" i="7"/>
  <c r="AG210" i="7"/>
  <c r="AH210" i="7"/>
  <c r="N211" i="7"/>
  <c r="O211" i="7"/>
  <c r="P211" i="7"/>
  <c r="Q211" i="7"/>
  <c r="R211" i="7"/>
  <c r="S211" i="7"/>
  <c r="T211" i="7"/>
  <c r="U211" i="7"/>
  <c r="W211" i="7"/>
  <c r="X211" i="7"/>
  <c r="Y211" i="7"/>
  <c r="Z211" i="7"/>
  <c r="AB211" i="7"/>
  <c r="AC211" i="7"/>
  <c r="AD211" i="7"/>
  <c r="AG211" i="7"/>
  <c r="AH211" i="7"/>
  <c r="N212" i="7"/>
  <c r="O212" i="7"/>
  <c r="P212" i="7"/>
  <c r="Q212" i="7"/>
  <c r="R212" i="7"/>
  <c r="S212" i="7"/>
  <c r="T212" i="7"/>
  <c r="U212" i="7"/>
  <c r="W212" i="7"/>
  <c r="X212" i="7"/>
  <c r="Y212" i="7"/>
  <c r="Z212" i="7"/>
  <c r="AB212" i="7"/>
  <c r="AC212" i="7"/>
  <c r="AD212" i="7"/>
  <c r="AG212" i="7"/>
  <c r="AH212" i="7"/>
  <c r="N213" i="7"/>
  <c r="O213" i="7"/>
  <c r="P213" i="7"/>
  <c r="Q213" i="7"/>
  <c r="R213" i="7"/>
  <c r="S213" i="7"/>
  <c r="T213" i="7"/>
  <c r="U213" i="7"/>
  <c r="W213" i="7"/>
  <c r="X213" i="7"/>
  <c r="Y213" i="7"/>
  <c r="Z213" i="7"/>
  <c r="AB213" i="7"/>
  <c r="AC213" i="7"/>
  <c r="AD213" i="7"/>
  <c r="AG213" i="7"/>
  <c r="AH213" i="7"/>
  <c r="N214" i="7"/>
  <c r="O214" i="7"/>
  <c r="P214" i="7"/>
  <c r="Q214" i="7"/>
  <c r="R214" i="7"/>
  <c r="S214" i="7"/>
  <c r="T214" i="7"/>
  <c r="U214" i="7"/>
  <c r="W214" i="7"/>
  <c r="X214" i="7"/>
  <c r="Y214" i="7"/>
  <c r="Z214" i="7"/>
  <c r="AB214" i="7"/>
  <c r="AC214" i="7"/>
  <c r="AD214" i="7"/>
  <c r="AG214" i="7"/>
  <c r="AH214" i="7"/>
  <c r="N215" i="7"/>
  <c r="O215" i="7"/>
  <c r="P215" i="7"/>
  <c r="Q215" i="7"/>
  <c r="R215" i="7"/>
  <c r="S215" i="7"/>
  <c r="T215" i="7"/>
  <c r="U215" i="7"/>
  <c r="W215" i="7"/>
  <c r="X215" i="7"/>
  <c r="Y215" i="7"/>
  <c r="Z215" i="7"/>
  <c r="AB215" i="7"/>
  <c r="AC215" i="7"/>
  <c r="AD215" i="7"/>
  <c r="AG215" i="7"/>
  <c r="AH215" i="7"/>
  <c r="N216" i="7"/>
  <c r="O216" i="7"/>
  <c r="P216" i="7"/>
  <c r="Q216" i="7"/>
  <c r="R216" i="7"/>
  <c r="S216" i="7"/>
  <c r="T216" i="7"/>
  <c r="U216" i="7"/>
  <c r="W216" i="7"/>
  <c r="X216" i="7"/>
  <c r="Y216" i="7"/>
  <c r="Z216" i="7"/>
  <c r="AB216" i="7"/>
  <c r="AC216" i="7"/>
  <c r="AD216" i="7"/>
  <c r="AG216" i="7"/>
  <c r="AH216" i="7"/>
  <c r="N217" i="7"/>
  <c r="O217" i="7"/>
  <c r="P217" i="7"/>
  <c r="Q217" i="7"/>
  <c r="R217" i="7"/>
  <c r="S217" i="7"/>
  <c r="T217" i="7"/>
  <c r="U217" i="7"/>
  <c r="W217" i="7"/>
  <c r="X217" i="7"/>
  <c r="Y217" i="7"/>
  <c r="Z217" i="7"/>
  <c r="AB217" i="7"/>
  <c r="AC217" i="7"/>
  <c r="AD217" i="7"/>
  <c r="AG217" i="7"/>
  <c r="AH217" i="7"/>
  <c r="R4" i="7"/>
  <c r="S4" i="7"/>
  <c r="T4" i="7"/>
  <c r="U4" i="7"/>
  <c r="W4" i="7"/>
  <c r="X4" i="7"/>
  <c r="Y4" i="7"/>
  <c r="Z4" i="7"/>
  <c r="AB4" i="7"/>
  <c r="AC4" i="7"/>
  <c r="AD4" i="7"/>
  <c r="AG4" i="7"/>
  <c r="AH4" i="7"/>
  <c r="O4" i="7"/>
  <c r="P4" i="7"/>
  <c r="Q4" i="7"/>
  <c r="N4" i="7"/>
  <c r="AF2" i="7" l="1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" i="5"/>
  <c r="M217" i="7"/>
  <c r="L217" i="7"/>
  <c r="K217" i="7"/>
  <c r="J217" i="7"/>
  <c r="I217" i="7"/>
  <c r="M216" i="7"/>
  <c r="L216" i="7"/>
  <c r="K216" i="7"/>
  <c r="J216" i="7"/>
  <c r="I216" i="7"/>
  <c r="M215" i="7"/>
  <c r="L215" i="7"/>
  <c r="K215" i="7"/>
  <c r="J215" i="7"/>
  <c r="I215" i="7"/>
  <c r="M214" i="7"/>
  <c r="L214" i="7"/>
  <c r="K214" i="7"/>
  <c r="J214" i="7"/>
  <c r="I214" i="7"/>
  <c r="M213" i="7"/>
  <c r="L213" i="7"/>
  <c r="K213" i="7"/>
  <c r="J213" i="7"/>
  <c r="I213" i="7"/>
  <c r="M212" i="7"/>
  <c r="L212" i="7"/>
  <c r="K212" i="7"/>
  <c r="J212" i="7"/>
  <c r="I212" i="7"/>
  <c r="M211" i="7"/>
  <c r="L211" i="7"/>
  <c r="K211" i="7"/>
  <c r="J211" i="7"/>
  <c r="I211" i="7"/>
  <c r="M210" i="7"/>
  <c r="L210" i="7"/>
  <c r="K210" i="7"/>
  <c r="J210" i="7"/>
  <c r="I210" i="7"/>
  <c r="M209" i="7"/>
  <c r="L209" i="7"/>
  <c r="K209" i="7"/>
  <c r="J209" i="7"/>
  <c r="I209" i="7"/>
  <c r="M208" i="7"/>
  <c r="L208" i="7"/>
  <c r="K208" i="7"/>
  <c r="J208" i="7"/>
  <c r="I208" i="7"/>
  <c r="M207" i="7"/>
  <c r="L207" i="7"/>
  <c r="K207" i="7"/>
  <c r="J207" i="7"/>
  <c r="I207" i="7"/>
  <c r="M206" i="7"/>
  <c r="L206" i="7"/>
  <c r="K206" i="7"/>
  <c r="J206" i="7"/>
  <c r="I206" i="7"/>
  <c r="M205" i="7"/>
  <c r="L205" i="7"/>
  <c r="K205" i="7"/>
  <c r="J205" i="7"/>
  <c r="I205" i="7"/>
  <c r="M204" i="7"/>
  <c r="L204" i="7"/>
  <c r="K204" i="7"/>
  <c r="J204" i="7"/>
  <c r="I204" i="7"/>
  <c r="M203" i="7"/>
  <c r="L203" i="7"/>
  <c r="K203" i="7"/>
  <c r="J203" i="7"/>
  <c r="I203" i="7"/>
  <c r="M202" i="7"/>
  <c r="L202" i="7"/>
  <c r="K202" i="7"/>
  <c r="J202" i="7"/>
  <c r="I202" i="7"/>
  <c r="M201" i="7"/>
  <c r="L201" i="7"/>
  <c r="K201" i="7"/>
  <c r="J201" i="7"/>
  <c r="I201" i="7"/>
  <c r="M200" i="7"/>
  <c r="L200" i="7"/>
  <c r="K200" i="7"/>
  <c r="J200" i="7"/>
  <c r="I200" i="7"/>
  <c r="M199" i="7"/>
  <c r="L199" i="7"/>
  <c r="K199" i="7"/>
  <c r="J199" i="7"/>
  <c r="I199" i="7"/>
  <c r="M198" i="7"/>
  <c r="L198" i="7"/>
  <c r="K198" i="7"/>
  <c r="J198" i="7"/>
  <c r="I198" i="7"/>
  <c r="M197" i="7"/>
  <c r="L197" i="7"/>
  <c r="K197" i="7"/>
  <c r="J197" i="7"/>
  <c r="I197" i="7"/>
  <c r="M196" i="7"/>
  <c r="L196" i="7"/>
  <c r="K196" i="7"/>
  <c r="J196" i="7"/>
  <c r="I196" i="7"/>
  <c r="M195" i="7"/>
  <c r="L195" i="7"/>
  <c r="K195" i="7"/>
  <c r="J195" i="7"/>
  <c r="I195" i="7"/>
  <c r="M194" i="7"/>
  <c r="L194" i="7"/>
  <c r="K194" i="7"/>
  <c r="J194" i="7"/>
  <c r="I194" i="7"/>
  <c r="M193" i="7"/>
  <c r="L193" i="7"/>
  <c r="K193" i="7"/>
  <c r="J193" i="7"/>
  <c r="I193" i="7"/>
  <c r="M192" i="7"/>
  <c r="L192" i="7"/>
  <c r="K192" i="7"/>
  <c r="J192" i="7"/>
  <c r="I192" i="7"/>
  <c r="M191" i="7"/>
  <c r="L191" i="7"/>
  <c r="K191" i="7"/>
  <c r="J191" i="7"/>
  <c r="I191" i="7"/>
  <c r="M190" i="7"/>
  <c r="L190" i="7"/>
  <c r="K190" i="7"/>
  <c r="J190" i="7"/>
  <c r="I190" i="7"/>
  <c r="M189" i="7"/>
  <c r="L189" i="7"/>
  <c r="K189" i="7"/>
  <c r="J189" i="7"/>
  <c r="I189" i="7"/>
  <c r="M188" i="7"/>
  <c r="L188" i="7"/>
  <c r="K188" i="7"/>
  <c r="J188" i="7"/>
  <c r="I188" i="7"/>
  <c r="M187" i="7"/>
  <c r="L187" i="7"/>
  <c r="K187" i="7"/>
  <c r="J187" i="7"/>
  <c r="I187" i="7"/>
  <c r="M186" i="7"/>
  <c r="L186" i="7"/>
  <c r="K186" i="7"/>
  <c r="J186" i="7"/>
  <c r="I186" i="7"/>
  <c r="M185" i="7"/>
  <c r="L185" i="7"/>
  <c r="K185" i="7"/>
  <c r="J185" i="7"/>
  <c r="I185" i="7"/>
  <c r="M184" i="7"/>
  <c r="L184" i="7"/>
  <c r="K184" i="7"/>
  <c r="J184" i="7"/>
  <c r="I184" i="7"/>
  <c r="M183" i="7"/>
  <c r="L183" i="7"/>
  <c r="K183" i="7"/>
  <c r="J183" i="7"/>
  <c r="I183" i="7"/>
  <c r="M182" i="7"/>
  <c r="L182" i="7"/>
  <c r="K182" i="7"/>
  <c r="J182" i="7"/>
  <c r="I182" i="7"/>
  <c r="M181" i="7"/>
  <c r="L181" i="7"/>
  <c r="K181" i="7"/>
  <c r="J181" i="7"/>
  <c r="I181" i="7"/>
  <c r="M180" i="7"/>
  <c r="L180" i="7"/>
  <c r="K180" i="7"/>
  <c r="J180" i="7"/>
  <c r="I180" i="7"/>
  <c r="M179" i="7"/>
  <c r="L179" i="7"/>
  <c r="K179" i="7"/>
  <c r="J179" i="7"/>
  <c r="I179" i="7"/>
  <c r="M178" i="7"/>
  <c r="L178" i="7"/>
  <c r="K178" i="7"/>
  <c r="J178" i="7"/>
  <c r="I178" i="7"/>
  <c r="M177" i="7"/>
  <c r="L177" i="7"/>
  <c r="K177" i="7"/>
  <c r="J177" i="7"/>
  <c r="I177" i="7"/>
  <c r="M176" i="7"/>
  <c r="L176" i="7"/>
  <c r="K176" i="7"/>
  <c r="J176" i="7"/>
  <c r="I176" i="7"/>
  <c r="M175" i="7"/>
  <c r="L175" i="7"/>
  <c r="K175" i="7"/>
  <c r="J175" i="7"/>
  <c r="I175" i="7"/>
  <c r="M174" i="7"/>
  <c r="L174" i="7"/>
  <c r="K174" i="7"/>
  <c r="J174" i="7"/>
  <c r="I174" i="7"/>
  <c r="M173" i="7"/>
  <c r="L173" i="7"/>
  <c r="K173" i="7"/>
  <c r="J173" i="7"/>
  <c r="I173" i="7"/>
  <c r="M172" i="7"/>
  <c r="L172" i="7"/>
  <c r="K172" i="7"/>
  <c r="J172" i="7"/>
  <c r="I172" i="7"/>
  <c r="M171" i="7"/>
  <c r="L171" i="7"/>
  <c r="K171" i="7"/>
  <c r="J171" i="7"/>
  <c r="I171" i="7"/>
  <c r="M170" i="7"/>
  <c r="L170" i="7"/>
  <c r="K170" i="7"/>
  <c r="J170" i="7"/>
  <c r="I170" i="7"/>
  <c r="M169" i="7"/>
  <c r="L169" i="7"/>
  <c r="K169" i="7"/>
  <c r="J169" i="7"/>
  <c r="I169" i="7"/>
  <c r="M168" i="7"/>
  <c r="L168" i="7"/>
  <c r="K168" i="7"/>
  <c r="J168" i="7"/>
  <c r="I168" i="7"/>
  <c r="M167" i="7"/>
  <c r="L167" i="7"/>
  <c r="K167" i="7"/>
  <c r="J167" i="7"/>
  <c r="I167" i="7"/>
  <c r="M166" i="7"/>
  <c r="L166" i="7"/>
  <c r="K166" i="7"/>
  <c r="J166" i="7"/>
  <c r="I166" i="7"/>
  <c r="M165" i="7"/>
  <c r="L165" i="7"/>
  <c r="K165" i="7"/>
  <c r="J165" i="7"/>
  <c r="I165" i="7"/>
  <c r="M164" i="7"/>
  <c r="L164" i="7"/>
  <c r="K164" i="7"/>
  <c r="J164" i="7"/>
  <c r="I164" i="7"/>
  <c r="M163" i="7"/>
  <c r="L163" i="7"/>
  <c r="K163" i="7"/>
  <c r="J163" i="7"/>
  <c r="I163" i="7"/>
  <c r="M162" i="7"/>
  <c r="L162" i="7"/>
  <c r="K162" i="7"/>
  <c r="J162" i="7"/>
  <c r="I162" i="7"/>
  <c r="M161" i="7"/>
  <c r="L161" i="7"/>
  <c r="K161" i="7"/>
  <c r="J161" i="7"/>
  <c r="I161" i="7"/>
  <c r="M160" i="7"/>
  <c r="L160" i="7"/>
  <c r="K160" i="7"/>
  <c r="J160" i="7"/>
  <c r="I160" i="7"/>
  <c r="M159" i="7"/>
  <c r="L159" i="7"/>
  <c r="K159" i="7"/>
  <c r="J159" i="7"/>
  <c r="I159" i="7"/>
  <c r="M158" i="7"/>
  <c r="L158" i="7"/>
  <c r="K158" i="7"/>
  <c r="J158" i="7"/>
  <c r="I158" i="7"/>
  <c r="M157" i="7"/>
  <c r="L157" i="7"/>
  <c r="K157" i="7"/>
  <c r="J157" i="7"/>
  <c r="I157" i="7"/>
  <c r="M156" i="7"/>
  <c r="L156" i="7"/>
  <c r="K156" i="7"/>
  <c r="J156" i="7"/>
  <c r="I156" i="7"/>
  <c r="M155" i="7"/>
  <c r="L155" i="7"/>
  <c r="K155" i="7"/>
  <c r="J155" i="7"/>
  <c r="I155" i="7"/>
  <c r="M154" i="7"/>
  <c r="L154" i="7"/>
  <c r="K154" i="7"/>
  <c r="J154" i="7"/>
  <c r="I154" i="7"/>
  <c r="M153" i="7"/>
  <c r="L153" i="7"/>
  <c r="K153" i="7"/>
  <c r="J153" i="7"/>
  <c r="I153" i="7"/>
  <c r="M152" i="7"/>
  <c r="L152" i="7"/>
  <c r="K152" i="7"/>
  <c r="J152" i="7"/>
  <c r="I152" i="7"/>
  <c r="M151" i="7"/>
  <c r="L151" i="7"/>
  <c r="K151" i="7"/>
  <c r="J151" i="7"/>
  <c r="I151" i="7"/>
  <c r="M150" i="7"/>
  <c r="L150" i="7"/>
  <c r="K150" i="7"/>
  <c r="J150" i="7"/>
  <c r="I150" i="7"/>
  <c r="M149" i="7"/>
  <c r="L149" i="7"/>
  <c r="K149" i="7"/>
  <c r="J149" i="7"/>
  <c r="I149" i="7"/>
  <c r="M148" i="7"/>
  <c r="L148" i="7"/>
  <c r="K148" i="7"/>
  <c r="J148" i="7"/>
  <c r="I148" i="7"/>
  <c r="M147" i="7"/>
  <c r="L147" i="7"/>
  <c r="K147" i="7"/>
  <c r="J147" i="7"/>
  <c r="I147" i="7"/>
  <c r="M146" i="7"/>
  <c r="L146" i="7"/>
  <c r="K146" i="7"/>
  <c r="J146" i="7"/>
  <c r="I146" i="7"/>
  <c r="M145" i="7"/>
  <c r="L145" i="7"/>
  <c r="K145" i="7"/>
  <c r="J145" i="7"/>
  <c r="I145" i="7"/>
  <c r="M144" i="7"/>
  <c r="L144" i="7"/>
  <c r="K144" i="7"/>
  <c r="J144" i="7"/>
  <c r="I144" i="7"/>
  <c r="M143" i="7"/>
  <c r="L143" i="7"/>
  <c r="K143" i="7"/>
  <c r="J143" i="7"/>
  <c r="I143" i="7"/>
  <c r="M142" i="7"/>
  <c r="L142" i="7"/>
  <c r="K142" i="7"/>
  <c r="J142" i="7"/>
  <c r="I142" i="7"/>
  <c r="M141" i="7"/>
  <c r="L141" i="7"/>
  <c r="K141" i="7"/>
  <c r="J141" i="7"/>
  <c r="I141" i="7"/>
  <c r="M140" i="7"/>
  <c r="L140" i="7"/>
  <c r="K140" i="7"/>
  <c r="J140" i="7"/>
  <c r="I140" i="7"/>
  <c r="M139" i="7"/>
  <c r="L139" i="7"/>
  <c r="K139" i="7"/>
  <c r="J139" i="7"/>
  <c r="I139" i="7"/>
  <c r="M138" i="7"/>
  <c r="L138" i="7"/>
  <c r="K138" i="7"/>
  <c r="J138" i="7"/>
  <c r="I138" i="7"/>
  <c r="M137" i="7"/>
  <c r="L137" i="7"/>
  <c r="K137" i="7"/>
  <c r="J137" i="7"/>
  <c r="I137" i="7"/>
  <c r="M136" i="7"/>
  <c r="L136" i="7"/>
  <c r="K136" i="7"/>
  <c r="J136" i="7"/>
  <c r="I136" i="7"/>
  <c r="M135" i="7"/>
  <c r="L135" i="7"/>
  <c r="K135" i="7"/>
  <c r="J135" i="7"/>
  <c r="I135" i="7"/>
  <c r="M134" i="7"/>
  <c r="L134" i="7"/>
  <c r="K134" i="7"/>
  <c r="J134" i="7"/>
  <c r="I134" i="7"/>
  <c r="M133" i="7"/>
  <c r="L133" i="7"/>
  <c r="K133" i="7"/>
  <c r="J133" i="7"/>
  <c r="I133" i="7"/>
  <c r="M132" i="7"/>
  <c r="L132" i="7"/>
  <c r="K132" i="7"/>
  <c r="J132" i="7"/>
  <c r="I132" i="7"/>
  <c r="M131" i="7"/>
  <c r="L131" i="7"/>
  <c r="K131" i="7"/>
  <c r="J131" i="7"/>
  <c r="I131" i="7"/>
  <c r="M130" i="7"/>
  <c r="L130" i="7"/>
  <c r="K130" i="7"/>
  <c r="J130" i="7"/>
  <c r="I130" i="7"/>
  <c r="M129" i="7"/>
  <c r="L129" i="7"/>
  <c r="K129" i="7"/>
  <c r="J129" i="7"/>
  <c r="I129" i="7"/>
  <c r="M128" i="7"/>
  <c r="L128" i="7"/>
  <c r="K128" i="7"/>
  <c r="J128" i="7"/>
  <c r="I128" i="7"/>
  <c r="M127" i="7"/>
  <c r="L127" i="7"/>
  <c r="K127" i="7"/>
  <c r="J127" i="7"/>
  <c r="I127" i="7"/>
  <c r="M126" i="7"/>
  <c r="L126" i="7"/>
  <c r="K126" i="7"/>
  <c r="J126" i="7"/>
  <c r="I126" i="7"/>
  <c r="M125" i="7"/>
  <c r="L125" i="7"/>
  <c r="K125" i="7"/>
  <c r="J125" i="7"/>
  <c r="I125" i="7"/>
  <c r="M124" i="7"/>
  <c r="L124" i="7"/>
  <c r="K124" i="7"/>
  <c r="J124" i="7"/>
  <c r="I124" i="7"/>
  <c r="M123" i="7"/>
  <c r="L123" i="7"/>
  <c r="K123" i="7"/>
  <c r="J123" i="7"/>
  <c r="I123" i="7"/>
  <c r="M122" i="7"/>
  <c r="L122" i="7"/>
  <c r="K122" i="7"/>
  <c r="J122" i="7"/>
  <c r="I122" i="7"/>
  <c r="M121" i="7"/>
  <c r="L121" i="7"/>
  <c r="K121" i="7"/>
  <c r="J121" i="7"/>
  <c r="I121" i="7"/>
  <c r="M120" i="7"/>
  <c r="L120" i="7"/>
  <c r="K120" i="7"/>
  <c r="J120" i="7"/>
  <c r="I120" i="7"/>
  <c r="M119" i="7"/>
  <c r="L119" i="7"/>
  <c r="K119" i="7"/>
  <c r="J119" i="7"/>
  <c r="I119" i="7"/>
  <c r="M118" i="7"/>
  <c r="L118" i="7"/>
  <c r="K118" i="7"/>
  <c r="J118" i="7"/>
  <c r="I118" i="7"/>
  <c r="M117" i="7"/>
  <c r="L117" i="7"/>
  <c r="K117" i="7"/>
  <c r="J117" i="7"/>
  <c r="I117" i="7"/>
  <c r="M116" i="7"/>
  <c r="L116" i="7"/>
  <c r="K116" i="7"/>
  <c r="J116" i="7"/>
  <c r="I116" i="7"/>
  <c r="M115" i="7"/>
  <c r="L115" i="7"/>
  <c r="K115" i="7"/>
  <c r="J115" i="7"/>
  <c r="I115" i="7"/>
  <c r="M114" i="7"/>
  <c r="L114" i="7"/>
  <c r="K114" i="7"/>
  <c r="J114" i="7"/>
  <c r="I114" i="7"/>
  <c r="M113" i="7"/>
  <c r="L113" i="7"/>
  <c r="K113" i="7"/>
  <c r="J113" i="7"/>
  <c r="I113" i="7"/>
  <c r="M112" i="7"/>
  <c r="L112" i="7"/>
  <c r="K112" i="7"/>
  <c r="J112" i="7"/>
  <c r="I112" i="7"/>
  <c r="M111" i="7"/>
  <c r="L111" i="7"/>
  <c r="K111" i="7"/>
  <c r="J111" i="7"/>
  <c r="I111" i="7"/>
  <c r="M110" i="7"/>
  <c r="L110" i="7"/>
  <c r="K110" i="7"/>
  <c r="J110" i="7"/>
  <c r="I110" i="7"/>
  <c r="M109" i="7"/>
  <c r="L109" i="7"/>
  <c r="K109" i="7"/>
  <c r="J109" i="7"/>
  <c r="I109" i="7"/>
  <c r="M108" i="7"/>
  <c r="L108" i="7"/>
  <c r="K108" i="7"/>
  <c r="J108" i="7"/>
  <c r="I108" i="7"/>
  <c r="M107" i="7"/>
  <c r="L107" i="7"/>
  <c r="K107" i="7"/>
  <c r="J107" i="7"/>
  <c r="I107" i="7"/>
  <c r="M106" i="7"/>
  <c r="L106" i="7"/>
  <c r="K106" i="7"/>
  <c r="J106" i="7"/>
  <c r="I106" i="7"/>
  <c r="M105" i="7"/>
  <c r="L105" i="7"/>
  <c r="K105" i="7"/>
  <c r="J105" i="7"/>
  <c r="I105" i="7"/>
  <c r="M104" i="7"/>
  <c r="L104" i="7"/>
  <c r="K104" i="7"/>
  <c r="J104" i="7"/>
  <c r="I104" i="7"/>
  <c r="M103" i="7"/>
  <c r="L103" i="7"/>
  <c r="K103" i="7"/>
  <c r="J103" i="7"/>
  <c r="I103" i="7"/>
  <c r="M102" i="7"/>
  <c r="L102" i="7"/>
  <c r="K102" i="7"/>
  <c r="J102" i="7"/>
  <c r="I102" i="7"/>
  <c r="M101" i="7"/>
  <c r="L101" i="7"/>
  <c r="K101" i="7"/>
  <c r="J101" i="7"/>
  <c r="I101" i="7"/>
  <c r="M100" i="7"/>
  <c r="L100" i="7"/>
  <c r="K100" i="7"/>
  <c r="J100" i="7"/>
  <c r="I100" i="7"/>
  <c r="M99" i="7"/>
  <c r="L99" i="7"/>
  <c r="K99" i="7"/>
  <c r="J99" i="7"/>
  <c r="I99" i="7"/>
  <c r="M98" i="7"/>
  <c r="L98" i="7"/>
  <c r="K98" i="7"/>
  <c r="J98" i="7"/>
  <c r="I98" i="7"/>
  <c r="M97" i="7"/>
  <c r="L97" i="7"/>
  <c r="K97" i="7"/>
  <c r="J97" i="7"/>
  <c r="I97" i="7"/>
  <c r="M96" i="7"/>
  <c r="L96" i="7"/>
  <c r="K96" i="7"/>
  <c r="J96" i="7"/>
  <c r="I96" i="7"/>
  <c r="M95" i="7"/>
  <c r="L95" i="7"/>
  <c r="K95" i="7"/>
  <c r="J95" i="7"/>
  <c r="I95" i="7"/>
  <c r="M94" i="7"/>
  <c r="L94" i="7"/>
  <c r="K94" i="7"/>
  <c r="J94" i="7"/>
  <c r="I94" i="7"/>
  <c r="M93" i="7"/>
  <c r="L93" i="7"/>
  <c r="K93" i="7"/>
  <c r="J93" i="7"/>
  <c r="I93" i="7"/>
  <c r="M92" i="7"/>
  <c r="L92" i="7"/>
  <c r="K92" i="7"/>
  <c r="J92" i="7"/>
  <c r="I92" i="7"/>
  <c r="M91" i="7"/>
  <c r="L91" i="7"/>
  <c r="K91" i="7"/>
  <c r="J91" i="7"/>
  <c r="I91" i="7"/>
  <c r="M90" i="7"/>
  <c r="L90" i="7"/>
  <c r="K90" i="7"/>
  <c r="J90" i="7"/>
  <c r="I90" i="7"/>
  <c r="M89" i="7"/>
  <c r="L89" i="7"/>
  <c r="K89" i="7"/>
  <c r="J89" i="7"/>
  <c r="I89" i="7"/>
  <c r="M88" i="7"/>
  <c r="L88" i="7"/>
  <c r="K88" i="7"/>
  <c r="J88" i="7"/>
  <c r="I88" i="7"/>
  <c r="M87" i="7"/>
  <c r="L87" i="7"/>
  <c r="K87" i="7"/>
  <c r="J87" i="7"/>
  <c r="I87" i="7"/>
  <c r="M86" i="7"/>
  <c r="L86" i="7"/>
  <c r="K86" i="7"/>
  <c r="J86" i="7"/>
  <c r="I86" i="7"/>
  <c r="M85" i="7"/>
  <c r="L85" i="7"/>
  <c r="K85" i="7"/>
  <c r="J85" i="7"/>
  <c r="I85" i="7"/>
  <c r="M84" i="7"/>
  <c r="L84" i="7"/>
  <c r="K84" i="7"/>
  <c r="J84" i="7"/>
  <c r="I84" i="7"/>
  <c r="M83" i="7"/>
  <c r="L83" i="7"/>
  <c r="K83" i="7"/>
  <c r="J83" i="7"/>
  <c r="I83" i="7"/>
  <c r="M82" i="7"/>
  <c r="L82" i="7"/>
  <c r="K82" i="7"/>
  <c r="J82" i="7"/>
  <c r="I82" i="7"/>
  <c r="M81" i="7"/>
  <c r="L81" i="7"/>
  <c r="K81" i="7"/>
  <c r="J81" i="7"/>
  <c r="I81" i="7"/>
  <c r="M80" i="7"/>
  <c r="L80" i="7"/>
  <c r="K80" i="7"/>
  <c r="J80" i="7"/>
  <c r="I80" i="7"/>
  <c r="M79" i="7"/>
  <c r="L79" i="7"/>
  <c r="K79" i="7"/>
  <c r="J79" i="7"/>
  <c r="I79" i="7"/>
  <c r="M78" i="7"/>
  <c r="L78" i="7"/>
  <c r="K78" i="7"/>
  <c r="J78" i="7"/>
  <c r="I78" i="7"/>
  <c r="M77" i="7"/>
  <c r="L77" i="7"/>
  <c r="K77" i="7"/>
  <c r="J77" i="7"/>
  <c r="I77" i="7"/>
  <c r="M76" i="7"/>
  <c r="L76" i="7"/>
  <c r="K76" i="7"/>
  <c r="J76" i="7"/>
  <c r="I76" i="7"/>
  <c r="M75" i="7"/>
  <c r="L75" i="7"/>
  <c r="K75" i="7"/>
  <c r="J75" i="7"/>
  <c r="I75" i="7"/>
  <c r="M74" i="7"/>
  <c r="L74" i="7"/>
  <c r="K74" i="7"/>
  <c r="J74" i="7"/>
  <c r="I74" i="7"/>
  <c r="M73" i="7"/>
  <c r="L73" i="7"/>
  <c r="K73" i="7"/>
  <c r="J73" i="7"/>
  <c r="I73" i="7"/>
  <c r="M72" i="7"/>
  <c r="L72" i="7"/>
  <c r="K72" i="7"/>
  <c r="J72" i="7"/>
  <c r="I72" i="7"/>
  <c r="M71" i="7"/>
  <c r="L71" i="7"/>
  <c r="K71" i="7"/>
  <c r="J71" i="7"/>
  <c r="I71" i="7"/>
  <c r="M70" i="7"/>
  <c r="L70" i="7"/>
  <c r="K70" i="7"/>
  <c r="J70" i="7"/>
  <c r="I70" i="7"/>
  <c r="M69" i="7"/>
  <c r="L69" i="7"/>
  <c r="K69" i="7"/>
  <c r="J69" i="7"/>
  <c r="I69" i="7"/>
  <c r="M68" i="7"/>
  <c r="L68" i="7"/>
  <c r="K68" i="7"/>
  <c r="J68" i="7"/>
  <c r="I68" i="7"/>
  <c r="M67" i="7"/>
  <c r="L67" i="7"/>
  <c r="K67" i="7"/>
  <c r="J67" i="7"/>
  <c r="I67" i="7"/>
  <c r="M66" i="7"/>
  <c r="L66" i="7"/>
  <c r="K66" i="7"/>
  <c r="J66" i="7"/>
  <c r="I66" i="7"/>
  <c r="M65" i="7"/>
  <c r="L65" i="7"/>
  <c r="K65" i="7"/>
  <c r="J65" i="7"/>
  <c r="I65" i="7"/>
  <c r="M64" i="7"/>
  <c r="L64" i="7"/>
  <c r="K64" i="7"/>
  <c r="J64" i="7"/>
  <c r="I64" i="7"/>
  <c r="M63" i="7"/>
  <c r="L63" i="7"/>
  <c r="K63" i="7"/>
  <c r="J63" i="7"/>
  <c r="I63" i="7"/>
  <c r="M62" i="7"/>
  <c r="L62" i="7"/>
  <c r="K62" i="7"/>
  <c r="J62" i="7"/>
  <c r="I62" i="7"/>
  <c r="M61" i="7"/>
  <c r="L61" i="7"/>
  <c r="K61" i="7"/>
  <c r="J61" i="7"/>
  <c r="I61" i="7"/>
  <c r="M60" i="7"/>
  <c r="L60" i="7"/>
  <c r="K60" i="7"/>
  <c r="J60" i="7"/>
  <c r="I60" i="7"/>
  <c r="M59" i="7"/>
  <c r="L59" i="7"/>
  <c r="K59" i="7"/>
  <c r="J59" i="7"/>
  <c r="I59" i="7"/>
  <c r="M58" i="7"/>
  <c r="L58" i="7"/>
  <c r="K58" i="7"/>
  <c r="J58" i="7"/>
  <c r="I58" i="7"/>
  <c r="M57" i="7"/>
  <c r="L57" i="7"/>
  <c r="K57" i="7"/>
  <c r="J57" i="7"/>
  <c r="I57" i="7"/>
  <c r="M56" i="7"/>
  <c r="L56" i="7"/>
  <c r="K56" i="7"/>
  <c r="J56" i="7"/>
  <c r="I56" i="7"/>
  <c r="M55" i="7"/>
  <c r="L55" i="7"/>
  <c r="K55" i="7"/>
  <c r="J55" i="7"/>
  <c r="I55" i="7"/>
  <c r="M54" i="7"/>
  <c r="L54" i="7"/>
  <c r="K54" i="7"/>
  <c r="J54" i="7"/>
  <c r="I54" i="7"/>
  <c r="M53" i="7"/>
  <c r="L53" i="7"/>
  <c r="K53" i="7"/>
  <c r="J53" i="7"/>
  <c r="I53" i="7"/>
  <c r="M52" i="7"/>
  <c r="L52" i="7"/>
  <c r="K52" i="7"/>
  <c r="J52" i="7"/>
  <c r="I52" i="7"/>
  <c r="M51" i="7"/>
  <c r="L51" i="7"/>
  <c r="K51" i="7"/>
  <c r="J51" i="7"/>
  <c r="I51" i="7"/>
  <c r="M50" i="7"/>
  <c r="L50" i="7"/>
  <c r="K50" i="7"/>
  <c r="J50" i="7"/>
  <c r="I50" i="7"/>
  <c r="M49" i="7"/>
  <c r="L49" i="7"/>
  <c r="K49" i="7"/>
  <c r="J49" i="7"/>
  <c r="I49" i="7"/>
  <c r="M48" i="7"/>
  <c r="L48" i="7"/>
  <c r="K48" i="7"/>
  <c r="J48" i="7"/>
  <c r="I48" i="7"/>
  <c r="M47" i="7"/>
  <c r="L47" i="7"/>
  <c r="K47" i="7"/>
  <c r="J47" i="7"/>
  <c r="I47" i="7"/>
  <c r="M46" i="7"/>
  <c r="L46" i="7"/>
  <c r="K46" i="7"/>
  <c r="J46" i="7"/>
  <c r="I46" i="7"/>
  <c r="M45" i="7"/>
  <c r="L45" i="7"/>
  <c r="K45" i="7"/>
  <c r="J45" i="7"/>
  <c r="I45" i="7"/>
  <c r="M44" i="7"/>
  <c r="L44" i="7"/>
  <c r="K44" i="7"/>
  <c r="J44" i="7"/>
  <c r="I44" i="7"/>
  <c r="M43" i="7"/>
  <c r="L43" i="7"/>
  <c r="K43" i="7"/>
  <c r="J43" i="7"/>
  <c r="I43" i="7"/>
  <c r="M42" i="7"/>
  <c r="L42" i="7"/>
  <c r="K42" i="7"/>
  <c r="J42" i="7"/>
  <c r="I42" i="7"/>
  <c r="M41" i="7"/>
  <c r="L41" i="7"/>
  <c r="K41" i="7"/>
  <c r="J41" i="7"/>
  <c r="I41" i="7"/>
  <c r="M40" i="7"/>
  <c r="L40" i="7"/>
  <c r="K40" i="7"/>
  <c r="J40" i="7"/>
  <c r="I40" i="7"/>
  <c r="M39" i="7"/>
  <c r="L39" i="7"/>
  <c r="K39" i="7"/>
  <c r="J39" i="7"/>
  <c r="I39" i="7"/>
  <c r="M38" i="7"/>
  <c r="L38" i="7"/>
  <c r="K38" i="7"/>
  <c r="J38" i="7"/>
  <c r="I38" i="7"/>
  <c r="M37" i="7"/>
  <c r="L37" i="7"/>
  <c r="K37" i="7"/>
  <c r="J37" i="7"/>
  <c r="I37" i="7"/>
  <c r="M36" i="7"/>
  <c r="L36" i="7"/>
  <c r="K36" i="7"/>
  <c r="J36" i="7"/>
  <c r="I36" i="7"/>
  <c r="M35" i="7"/>
  <c r="L35" i="7"/>
  <c r="K35" i="7"/>
  <c r="J35" i="7"/>
  <c r="I35" i="7"/>
  <c r="M34" i="7"/>
  <c r="L34" i="7"/>
  <c r="K34" i="7"/>
  <c r="J34" i="7"/>
  <c r="I34" i="7"/>
  <c r="M33" i="7"/>
  <c r="L33" i="7"/>
  <c r="K33" i="7"/>
  <c r="J33" i="7"/>
  <c r="I33" i="7"/>
  <c r="M32" i="7"/>
  <c r="L32" i="7"/>
  <c r="K32" i="7"/>
  <c r="J32" i="7"/>
  <c r="I32" i="7"/>
  <c r="M31" i="7"/>
  <c r="L31" i="7"/>
  <c r="K31" i="7"/>
  <c r="J31" i="7"/>
  <c r="I31" i="7"/>
  <c r="M30" i="7"/>
  <c r="L30" i="7"/>
  <c r="K30" i="7"/>
  <c r="J30" i="7"/>
  <c r="I30" i="7"/>
  <c r="M29" i="7"/>
  <c r="L29" i="7"/>
  <c r="K29" i="7"/>
  <c r="J29" i="7"/>
  <c r="I29" i="7"/>
  <c r="M28" i="7"/>
  <c r="L28" i="7"/>
  <c r="K28" i="7"/>
  <c r="J28" i="7"/>
  <c r="I28" i="7"/>
  <c r="M27" i="7"/>
  <c r="L27" i="7"/>
  <c r="K27" i="7"/>
  <c r="J27" i="7"/>
  <c r="I27" i="7"/>
  <c r="M26" i="7"/>
  <c r="L26" i="7"/>
  <c r="K26" i="7"/>
  <c r="J26" i="7"/>
  <c r="I26" i="7"/>
  <c r="M25" i="7"/>
  <c r="L25" i="7"/>
  <c r="K25" i="7"/>
  <c r="J25" i="7"/>
  <c r="I25" i="7"/>
  <c r="M24" i="7"/>
  <c r="L24" i="7"/>
  <c r="K24" i="7"/>
  <c r="J24" i="7"/>
  <c r="I24" i="7"/>
  <c r="M23" i="7"/>
  <c r="L23" i="7"/>
  <c r="K23" i="7"/>
  <c r="J23" i="7"/>
  <c r="I23" i="7"/>
  <c r="M22" i="7"/>
  <c r="L22" i="7"/>
  <c r="K22" i="7"/>
  <c r="J22" i="7"/>
  <c r="I22" i="7"/>
  <c r="M21" i="7"/>
  <c r="L21" i="7"/>
  <c r="K21" i="7"/>
  <c r="J21" i="7"/>
  <c r="I21" i="7"/>
  <c r="M20" i="7"/>
  <c r="L20" i="7"/>
  <c r="K20" i="7"/>
  <c r="J20" i="7"/>
  <c r="I20" i="7"/>
  <c r="M19" i="7"/>
  <c r="L19" i="7"/>
  <c r="K19" i="7"/>
  <c r="J19" i="7"/>
  <c r="I19" i="7"/>
  <c r="M18" i="7"/>
  <c r="L18" i="7"/>
  <c r="K18" i="7"/>
  <c r="J18" i="7"/>
  <c r="I18" i="7"/>
  <c r="M17" i="7"/>
  <c r="L17" i="7"/>
  <c r="K17" i="7"/>
  <c r="J17" i="7"/>
  <c r="I17" i="7"/>
  <c r="M16" i="7"/>
  <c r="L16" i="7"/>
  <c r="K16" i="7"/>
  <c r="J16" i="7"/>
  <c r="I16" i="7"/>
  <c r="M15" i="7"/>
  <c r="L15" i="7"/>
  <c r="K15" i="7"/>
  <c r="J15" i="7"/>
  <c r="I15" i="7"/>
  <c r="M14" i="7"/>
  <c r="L14" i="7"/>
  <c r="K14" i="7"/>
  <c r="J14" i="7"/>
  <c r="I14" i="7"/>
  <c r="M13" i="7"/>
  <c r="L13" i="7"/>
  <c r="K13" i="7"/>
  <c r="J13" i="7"/>
  <c r="I13" i="7"/>
  <c r="M12" i="7"/>
  <c r="L12" i="7"/>
  <c r="K12" i="7"/>
  <c r="J12" i="7"/>
  <c r="I12" i="7"/>
  <c r="M11" i="7"/>
  <c r="L11" i="7"/>
  <c r="K11" i="7"/>
  <c r="J11" i="7"/>
  <c r="I11" i="7"/>
  <c r="M10" i="7"/>
  <c r="L10" i="7"/>
  <c r="K10" i="7"/>
  <c r="J10" i="7"/>
  <c r="I10" i="7"/>
  <c r="M9" i="7"/>
  <c r="L9" i="7"/>
  <c r="K9" i="7"/>
  <c r="J9" i="7"/>
  <c r="I9" i="7"/>
  <c r="L8" i="7"/>
  <c r="M7" i="7"/>
  <c r="L7" i="7"/>
  <c r="K7" i="7"/>
  <c r="J7" i="7"/>
  <c r="I7" i="7"/>
  <c r="M6" i="7"/>
  <c r="L6" i="7"/>
  <c r="K6" i="7"/>
  <c r="J6" i="7"/>
  <c r="I6" i="7"/>
  <c r="M5" i="7"/>
  <c r="L5" i="7"/>
  <c r="K5" i="7"/>
  <c r="J5" i="7"/>
  <c r="I5" i="7"/>
  <c r="M4" i="7"/>
  <c r="L4" i="7"/>
  <c r="K4" i="7"/>
  <c r="J4" i="7"/>
  <c r="I4" i="7"/>
  <c r="AG215" i="5"/>
  <c r="AF215" i="5"/>
  <c r="AE215" i="5"/>
  <c r="AD215" i="5"/>
  <c r="AC215" i="5"/>
  <c r="AB215" i="5"/>
  <c r="AA215" i="5"/>
  <c r="Z215" i="5"/>
  <c r="Y215" i="5"/>
  <c r="X215" i="5"/>
  <c r="W215" i="5"/>
  <c r="V215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AG214" i="5"/>
  <c r="AF214" i="5"/>
  <c r="AE214" i="5"/>
  <c r="AD214" i="5"/>
  <c r="AC214" i="5"/>
  <c r="AB214" i="5"/>
  <c r="AA214" i="5"/>
  <c r="Z214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M214" i="5"/>
  <c r="L214" i="5"/>
  <c r="K214" i="5"/>
  <c r="J214" i="5" s="1"/>
  <c r="I214" i="5"/>
  <c r="AG213" i="5"/>
  <c r="AF213" i="5"/>
  <c r="AE213" i="5"/>
  <c r="AD213" i="5"/>
  <c r="AC213" i="5"/>
  <c r="AB213" i="5"/>
  <c r="AA213" i="5"/>
  <c r="Z213" i="5"/>
  <c r="Y213" i="5"/>
  <c r="X213" i="5"/>
  <c r="W213" i="5"/>
  <c r="V213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AG212" i="5"/>
  <c r="AF212" i="5"/>
  <c r="AE212" i="5"/>
  <c r="AD212" i="5"/>
  <c r="AC212" i="5"/>
  <c r="AB212" i="5"/>
  <c r="AA212" i="5"/>
  <c r="Z212" i="5"/>
  <c r="Y212" i="5"/>
  <c r="X212" i="5"/>
  <c r="W212" i="5"/>
  <c r="V212" i="5"/>
  <c r="U212" i="5"/>
  <c r="T212" i="5"/>
  <c r="S212" i="5"/>
  <c r="R212" i="5"/>
  <c r="Q212" i="5"/>
  <c r="P212" i="5"/>
  <c r="O212" i="5"/>
  <c r="N212" i="5"/>
  <c r="M212" i="5"/>
  <c r="L212" i="5"/>
  <c r="K212" i="5"/>
  <c r="J212" i="5" s="1"/>
  <c r="I212" i="5"/>
  <c r="AG211" i="5"/>
  <c r="AF211" i="5"/>
  <c r="AE211" i="5"/>
  <c r="AD211" i="5"/>
  <c r="AC211" i="5"/>
  <c r="AB211" i="5"/>
  <c r="AA211" i="5"/>
  <c r="Z211" i="5"/>
  <c r="Y211" i="5"/>
  <c r="X211" i="5"/>
  <c r="W211" i="5"/>
  <c r="V211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AG210" i="5"/>
  <c r="AF210" i="5"/>
  <c r="AE210" i="5"/>
  <c r="AD210" i="5"/>
  <c r="AC210" i="5"/>
  <c r="AB210" i="5"/>
  <c r="AA210" i="5"/>
  <c r="Z210" i="5"/>
  <c r="Y210" i="5"/>
  <c r="X210" i="5"/>
  <c r="W210" i="5"/>
  <c r="V210" i="5"/>
  <c r="U210" i="5"/>
  <c r="T210" i="5"/>
  <c r="S210" i="5"/>
  <c r="R210" i="5"/>
  <c r="Q210" i="5"/>
  <c r="P210" i="5"/>
  <c r="O210" i="5"/>
  <c r="N210" i="5"/>
  <c r="M210" i="5"/>
  <c r="L210" i="5"/>
  <c r="K210" i="5"/>
  <c r="J210" i="5" s="1"/>
  <c r="I210" i="5"/>
  <c r="AG209" i="5"/>
  <c r="AF209" i="5"/>
  <c r="AE209" i="5"/>
  <c r="AD209" i="5"/>
  <c r="AC209" i="5"/>
  <c r="AB209" i="5"/>
  <c r="AA209" i="5"/>
  <c r="Z209" i="5"/>
  <c r="Y209" i="5"/>
  <c r="X209" i="5"/>
  <c r="W209" i="5"/>
  <c r="V209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AG208" i="5"/>
  <c r="AF208" i="5"/>
  <c r="AE208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L208" i="5"/>
  <c r="K208" i="5"/>
  <c r="J208" i="5" s="1"/>
  <c r="I208" i="5"/>
  <c r="AG207" i="5"/>
  <c r="AF207" i="5"/>
  <c r="AE207" i="5"/>
  <c r="AD207" i="5"/>
  <c r="AC207" i="5"/>
  <c r="AB207" i="5"/>
  <c r="AA207" i="5"/>
  <c r="Z207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AG206" i="5"/>
  <c r="AF206" i="5"/>
  <c r="AE206" i="5"/>
  <c r="AD206" i="5"/>
  <c r="AC206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J206" i="5" s="1"/>
  <c r="I206" i="5"/>
  <c r="AG205" i="5"/>
  <c r="AF205" i="5"/>
  <c r="AE205" i="5"/>
  <c r="AD205" i="5"/>
  <c r="AC205" i="5"/>
  <c r="AB205" i="5"/>
  <c r="AA205" i="5"/>
  <c r="Z205" i="5"/>
  <c r="Y205" i="5"/>
  <c r="X205" i="5"/>
  <c r="W205" i="5"/>
  <c r="V205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AG204" i="5"/>
  <c r="AF204" i="5"/>
  <c r="AE204" i="5"/>
  <c r="AD204" i="5"/>
  <c r="AC204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J204" i="5" s="1"/>
  <c r="I204" i="5"/>
  <c r="AG203" i="5"/>
  <c r="AF203" i="5"/>
  <c r="AE203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AG202" i="5"/>
  <c r="AF202" i="5"/>
  <c r="AE202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 s="1"/>
  <c r="I202" i="5"/>
  <c r="AG201" i="5"/>
  <c r="AF201" i="5"/>
  <c r="AE201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 s="1"/>
  <c r="I200" i="5"/>
  <c r="AG199" i="5"/>
  <c r="AF199" i="5"/>
  <c r="AE199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AG198" i="5"/>
  <c r="AF198" i="5"/>
  <c r="AE198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 s="1"/>
  <c r="I198" i="5"/>
  <c r="AG197" i="5"/>
  <c r="AF197" i="5"/>
  <c r="AE197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AG196" i="5"/>
  <c r="AF196" i="5"/>
  <c r="AE196" i="5"/>
  <c r="AD196" i="5"/>
  <c r="AC196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 s="1"/>
  <c r="I196" i="5"/>
  <c r="AG195" i="5"/>
  <c r="AF195" i="5"/>
  <c r="AE195" i="5"/>
  <c r="AD195" i="5"/>
  <c r="AC195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AG194" i="5"/>
  <c r="AF194" i="5"/>
  <c r="AE194" i="5"/>
  <c r="AD194" i="5"/>
  <c r="AC194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 s="1"/>
  <c r="I194" i="5"/>
  <c r="AG193" i="5"/>
  <c r="AF193" i="5"/>
  <c r="AE193" i="5"/>
  <c r="AD193" i="5"/>
  <c r="AC193" i="5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AG192" i="5"/>
  <c r="AF192" i="5"/>
  <c r="AE192" i="5"/>
  <c r="AD192" i="5"/>
  <c r="AC192" i="5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 s="1"/>
  <c r="I192" i="5"/>
  <c r="AG191" i="5"/>
  <c r="AF191" i="5"/>
  <c r="AE191" i="5"/>
  <c r="AD191" i="5"/>
  <c r="AC191" i="5"/>
  <c r="AB191" i="5"/>
  <c r="AA191" i="5"/>
  <c r="Z191" i="5"/>
  <c r="Y191" i="5"/>
  <c r="X191" i="5"/>
  <c r="W191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AG190" i="5"/>
  <c r="AF190" i="5"/>
  <c r="AE190" i="5"/>
  <c r="AD190" i="5"/>
  <c r="AC190" i="5"/>
  <c r="AB190" i="5"/>
  <c r="AA190" i="5"/>
  <c r="Z190" i="5"/>
  <c r="Y190" i="5"/>
  <c r="X190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 s="1"/>
  <c r="I190" i="5"/>
  <c r="AG189" i="5"/>
  <c r="AF189" i="5"/>
  <c r="AE189" i="5"/>
  <c r="AD189" i="5"/>
  <c r="AC189" i="5"/>
  <c r="AB189" i="5"/>
  <c r="AA189" i="5"/>
  <c r="Z189" i="5"/>
  <c r="Y189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AG188" i="5"/>
  <c r="AF188" i="5"/>
  <c r="AE188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 s="1"/>
  <c r="I188" i="5"/>
  <c r="AG187" i="5"/>
  <c r="AF187" i="5"/>
  <c r="AE187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 s="1"/>
  <c r="I186" i="5"/>
  <c r="AG185" i="5"/>
  <c r="AF185" i="5"/>
  <c r="AE185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AG184" i="5"/>
  <c r="AF184" i="5"/>
  <c r="AE184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 s="1"/>
  <c r="I184" i="5"/>
  <c r="AG183" i="5"/>
  <c r="AF183" i="5"/>
  <c r="AE183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AG182" i="5"/>
  <c r="AF182" i="5"/>
  <c r="AE182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 s="1"/>
  <c r="I182" i="5"/>
  <c r="AG181" i="5"/>
  <c r="AF181" i="5"/>
  <c r="AE181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AG180" i="5"/>
  <c r="AF180" i="5"/>
  <c r="AE180" i="5"/>
  <c r="AD180" i="5"/>
  <c r="AC180" i="5"/>
  <c r="AB180" i="5"/>
  <c r="AA180" i="5"/>
  <c r="Z180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J180" i="5" s="1"/>
  <c r="I180" i="5"/>
  <c r="AG179" i="5"/>
  <c r="AF179" i="5"/>
  <c r="AE179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J178" i="5" s="1"/>
  <c r="I178" i="5"/>
  <c r="AG177" i="5"/>
  <c r="AF177" i="5"/>
  <c r="AE177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AG176" i="5"/>
  <c r="AF176" i="5"/>
  <c r="AE176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 s="1"/>
  <c r="I176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AG174" i="5"/>
  <c r="AF174" i="5"/>
  <c r="AE174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 s="1"/>
  <c r="I174" i="5"/>
  <c r="AG173" i="5"/>
  <c r="AF173" i="5"/>
  <c r="AE173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AG172" i="5"/>
  <c r="AF172" i="5"/>
  <c r="AE172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 s="1"/>
  <c r="I172" i="5"/>
  <c r="AG171" i="5"/>
  <c r="AF171" i="5"/>
  <c r="AE171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 s="1"/>
  <c r="I170" i="5"/>
  <c r="AG169" i="5"/>
  <c r="AF169" i="5"/>
  <c r="AE169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AG168" i="5"/>
  <c r="AF168" i="5"/>
  <c r="AE168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 s="1"/>
  <c r="I168" i="5"/>
  <c r="AG167" i="5"/>
  <c r="AF167" i="5"/>
  <c r="AE167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 s="1"/>
  <c r="I166" i="5"/>
  <c r="AG165" i="5"/>
  <c r="AF165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AG164" i="5"/>
  <c r="AF164" i="5"/>
  <c r="AE164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 s="1"/>
  <c r="I164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AG162" i="5"/>
  <c r="AF162" i="5"/>
  <c r="AE162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 s="1"/>
  <c r="I162" i="5"/>
  <c r="AG161" i="5"/>
  <c r="AF161" i="5"/>
  <c r="AE161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AG160" i="5"/>
  <c r="AF160" i="5"/>
  <c r="AE160" i="5"/>
  <c r="AD160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 s="1"/>
  <c r="I160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AG158" i="5"/>
  <c r="AF158" i="5"/>
  <c r="AE158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 s="1"/>
  <c r="I158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AG156" i="5"/>
  <c r="AF156" i="5"/>
  <c r="AE156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AG154" i="5"/>
  <c r="AF154" i="5"/>
  <c r="AE154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AG152" i="5"/>
  <c r="AF152" i="5"/>
  <c r="AE152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AG148" i="5"/>
  <c r="AF148" i="5"/>
  <c r="AE148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 s="1"/>
  <c r="I148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AG146" i="5"/>
  <c r="AF146" i="5"/>
  <c r="AE146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 s="1"/>
  <c r="I146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AG144" i="5"/>
  <c r="AF144" i="5"/>
  <c r="AE144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 s="1"/>
  <c r="I144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AG142" i="5"/>
  <c r="AF142" i="5"/>
  <c r="AE142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AG140" i="5"/>
  <c r="AF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AG138" i="5"/>
  <c r="AF138" i="5"/>
  <c r="AE138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AG132" i="5"/>
  <c r="AF132" i="5"/>
  <c r="AE132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AG130" i="5"/>
  <c r="AF130" i="5"/>
  <c r="AE130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AG128" i="5"/>
  <c r="AF128" i="5"/>
  <c r="AE128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AG126" i="5"/>
  <c r="AF126" i="5"/>
  <c r="AE126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AG124" i="5"/>
  <c r="AF124" i="5"/>
  <c r="AE124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AG122" i="5"/>
  <c r="AF122" i="5"/>
  <c r="AE122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AG121" i="5"/>
  <c r="AF121" i="5"/>
  <c r="AE121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AG118" i="5"/>
  <c r="AF118" i="5"/>
  <c r="AE118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AG116" i="5"/>
  <c r="AF116" i="5"/>
  <c r="AE116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AG114" i="5"/>
  <c r="AF114" i="5"/>
  <c r="AE114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AG113" i="5"/>
  <c r="AF113" i="5"/>
  <c r="AE113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AG112" i="5"/>
  <c r="AF112" i="5"/>
  <c r="AE112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AG111" i="5"/>
  <c r="AF111" i="5"/>
  <c r="AE111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AG110" i="5"/>
  <c r="AF110" i="5"/>
  <c r="AE110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AG108" i="5"/>
  <c r="AF108" i="5"/>
  <c r="AE108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M8" i="7" s="1"/>
  <c r="L6" i="5"/>
  <c r="K6" i="5"/>
  <c r="K8" i="7" s="1"/>
  <c r="J6" i="5"/>
  <c r="J8" i="7" s="1"/>
  <c r="I6" i="5"/>
  <c r="I8" i="7" s="1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W87" i="2" l="1"/>
  <c r="AN215" i="2" l="1"/>
  <c r="AQ215" i="2" s="1"/>
  <c r="W215" i="2"/>
  <c r="Z215" i="2" s="1"/>
  <c r="AB214" i="2"/>
  <c r="AN214" i="2" s="1"/>
  <c r="AQ214" i="2" s="1"/>
  <c r="AA214" i="2"/>
  <c r="W214" i="2"/>
  <c r="Z214" i="2" s="1"/>
  <c r="AN213" i="2"/>
  <c r="AQ213" i="2" s="1"/>
  <c r="W213" i="2"/>
  <c r="Z213" i="2" s="1"/>
  <c r="AB212" i="2"/>
  <c r="AN212" i="2" s="1"/>
  <c r="AQ212" i="2" s="1"/>
  <c r="AA212" i="2"/>
  <c r="W212" i="2"/>
  <c r="Z212" i="2" s="1"/>
  <c r="AN211" i="2"/>
  <c r="AQ211" i="2" s="1"/>
  <c r="W211" i="2"/>
  <c r="Z211" i="2" s="1"/>
  <c r="AP210" i="2"/>
  <c r="AO210" i="2"/>
  <c r="AN210" i="2"/>
  <c r="AQ210" i="2" s="1"/>
  <c r="AL210" i="2"/>
  <c r="AH210" i="2"/>
  <c r="AG210" i="2"/>
  <c r="AF210" i="2"/>
  <c r="AE210" i="2"/>
  <c r="AB210" i="2"/>
  <c r="AA210" i="2"/>
  <c r="Y210" i="2"/>
  <c r="X210" i="2"/>
  <c r="W210" i="2"/>
  <c r="Z210" i="2" s="1"/>
  <c r="AN209" i="2"/>
  <c r="AQ209" i="2" s="1"/>
  <c r="W209" i="2"/>
  <c r="Z209" i="2" s="1"/>
  <c r="AB208" i="2"/>
  <c r="AN208" i="2" s="1"/>
  <c r="AQ208" i="2" s="1"/>
  <c r="AA208" i="2"/>
  <c r="W208" i="2"/>
  <c r="Z208" i="2" s="1"/>
  <c r="AP207" i="2"/>
  <c r="AO207" i="2"/>
  <c r="AN207" i="2"/>
  <c r="AQ207" i="2" s="1"/>
  <c r="AL207" i="2"/>
  <c r="AH207" i="2"/>
  <c r="AG207" i="2"/>
  <c r="AF207" i="2"/>
  <c r="AE207" i="2"/>
  <c r="AB207" i="2"/>
  <c r="AA207" i="2"/>
  <c r="Y207" i="2"/>
  <c r="X207" i="2"/>
  <c r="W207" i="2"/>
  <c r="AB206" i="2"/>
  <c r="AN206" i="2" s="1"/>
  <c r="AQ206" i="2" s="1"/>
  <c r="AA206" i="2"/>
  <c r="W206" i="2"/>
  <c r="Z206" i="2" s="1"/>
  <c r="AN205" i="2"/>
  <c r="AQ205" i="2" s="1"/>
  <c r="AL205" i="2"/>
  <c r="AH205" i="2"/>
  <c r="AG205" i="2"/>
  <c r="AF205" i="2"/>
  <c r="AE205" i="2"/>
  <c r="W205" i="2"/>
  <c r="Z205" i="2" s="1"/>
  <c r="AN204" i="2"/>
  <c r="AQ204" i="2" s="1"/>
  <c r="AL204" i="2"/>
  <c r="AH204" i="2"/>
  <c r="AG204" i="2"/>
  <c r="AF204" i="2"/>
  <c r="AE204" i="2"/>
  <c r="AB204" i="2"/>
  <c r="AA204" i="2"/>
  <c r="Y204" i="2"/>
  <c r="X204" i="2"/>
  <c r="W204" i="2"/>
  <c r="AN203" i="2"/>
  <c r="AQ203" i="2" s="1"/>
  <c r="Y203" i="2"/>
  <c r="X203" i="2"/>
  <c r="W203" i="2"/>
  <c r="AN202" i="2"/>
  <c r="AQ202" i="2" s="1"/>
  <c r="W202" i="2"/>
  <c r="Z202" i="2" s="1"/>
  <c r="AN201" i="2"/>
  <c r="AQ201" i="2" s="1"/>
  <c r="W201" i="2"/>
  <c r="Z201" i="2" s="1"/>
  <c r="AP200" i="2"/>
  <c r="AO200" i="2"/>
  <c r="AL200" i="2"/>
  <c r="AH200" i="2"/>
  <c r="AG200" i="2"/>
  <c r="AF200" i="2"/>
  <c r="AE200" i="2"/>
  <c r="AB200" i="2"/>
  <c r="AN200" i="2" s="1"/>
  <c r="AQ200" i="2" s="1"/>
  <c r="AA200" i="2"/>
  <c r="Z200" i="2"/>
  <c r="Y200" i="2"/>
  <c r="X200" i="2"/>
  <c r="W200" i="2"/>
  <c r="AP199" i="2"/>
  <c r="AO199" i="2"/>
  <c r="AL199" i="2"/>
  <c r="AH199" i="2"/>
  <c r="AG199" i="2"/>
  <c r="AF199" i="2"/>
  <c r="AE199" i="2"/>
  <c r="AB199" i="2"/>
  <c r="AN199" i="2" s="1"/>
  <c r="AQ199" i="2" s="1"/>
  <c r="AA199" i="2"/>
  <c r="Y199" i="2"/>
  <c r="X199" i="2"/>
  <c r="W199" i="2"/>
  <c r="Z199" i="2" s="1"/>
  <c r="AN198" i="2"/>
  <c r="AQ198" i="2" s="1"/>
  <c r="Y198" i="2"/>
  <c r="X198" i="2"/>
  <c r="W198" i="2"/>
  <c r="AQ197" i="2"/>
  <c r="AP197" i="2"/>
  <c r="AO197" i="2"/>
  <c r="AN197" i="2"/>
  <c r="AL197" i="2"/>
  <c r="AH197" i="2"/>
  <c r="AG197" i="2"/>
  <c r="AF197" i="2"/>
  <c r="AE197" i="2"/>
  <c r="AB197" i="2"/>
  <c r="AA197" i="2"/>
  <c r="W197" i="2"/>
  <c r="Z197" i="2" s="1"/>
  <c r="AP196" i="2"/>
  <c r="AO196" i="2"/>
  <c r="AN196" i="2"/>
  <c r="AL196" i="2"/>
  <c r="AH196" i="2"/>
  <c r="AG196" i="2"/>
  <c r="AF196" i="2"/>
  <c r="AE196" i="2"/>
  <c r="AB196" i="2"/>
  <c r="AA196" i="2"/>
  <c r="Y196" i="2"/>
  <c r="X196" i="2"/>
  <c r="W196" i="2"/>
  <c r="AP195" i="2"/>
  <c r="AO195" i="2"/>
  <c r="AL195" i="2"/>
  <c r="AH195" i="2"/>
  <c r="AG195" i="2"/>
  <c r="AF195" i="2"/>
  <c r="AE195" i="2"/>
  <c r="AB195" i="2"/>
  <c r="AN195" i="2" s="1"/>
  <c r="AA195" i="2"/>
  <c r="Z195" i="2"/>
  <c r="W195" i="2"/>
  <c r="AP194" i="2"/>
  <c r="AO194" i="2"/>
  <c r="AL194" i="2"/>
  <c r="AH194" i="2"/>
  <c r="AG194" i="2"/>
  <c r="AF194" i="2"/>
  <c r="AB194" i="2"/>
  <c r="AN194" i="2" s="1"/>
  <c r="AA194" i="2"/>
  <c r="Z194" i="2"/>
  <c r="Y194" i="2"/>
  <c r="X194" i="2"/>
  <c r="W194" i="2"/>
  <c r="N194" i="2"/>
  <c r="AE194" i="2" s="1"/>
  <c r="AP193" i="2"/>
  <c r="AO193" i="2"/>
  <c r="AL193" i="2"/>
  <c r="AH193" i="2"/>
  <c r="AG193" i="2"/>
  <c r="AF193" i="2"/>
  <c r="AE193" i="2"/>
  <c r="AB193" i="2"/>
  <c r="AN193" i="2" s="1"/>
  <c r="AQ193" i="2" s="1"/>
  <c r="Y193" i="2"/>
  <c r="X193" i="2"/>
  <c r="W193" i="2"/>
  <c r="AP192" i="2"/>
  <c r="AL192" i="2"/>
  <c r="AH192" i="2"/>
  <c r="AG192" i="2"/>
  <c r="AE192" i="2"/>
  <c r="AB192" i="2"/>
  <c r="AN192" i="2" s="1"/>
  <c r="W192" i="2"/>
  <c r="AP191" i="2"/>
  <c r="AO191" i="2"/>
  <c r="AL191" i="2"/>
  <c r="AH191" i="2"/>
  <c r="AG191" i="2"/>
  <c r="AF191" i="2"/>
  <c r="AE191" i="2"/>
  <c r="AB191" i="2"/>
  <c r="AN191" i="2" s="1"/>
  <c r="AA191" i="2"/>
  <c r="Y191" i="2"/>
  <c r="X191" i="2"/>
  <c r="W191" i="2"/>
  <c r="AN190" i="2"/>
  <c r="W190" i="2"/>
  <c r="Z190" i="2" s="1"/>
  <c r="AP189" i="2"/>
  <c r="AO189" i="2"/>
  <c r="AN189" i="2"/>
  <c r="AL189" i="2"/>
  <c r="AH189" i="2"/>
  <c r="AG189" i="2"/>
  <c r="AF189" i="2"/>
  <c r="AE189" i="2"/>
  <c r="AA189" i="2"/>
  <c r="W189" i="2"/>
  <c r="AL188" i="2"/>
  <c r="AH188" i="2"/>
  <c r="AG188" i="2"/>
  <c r="AF188" i="2"/>
  <c r="AE188" i="2"/>
  <c r="AB188" i="2"/>
  <c r="AN188" i="2" s="1"/>
  <c r="AA188" i="2"/>
  <c r="Y188" i="2"/>
  <c r="W188" i="2"/>
  <c r="Z188" i="2" s="1"/>
  <c r="AP187" i="2"/>
  <c r="AO187" i="2"/>
  <c r="AN187" i="2"/>
  <c r="AL187" i="2"/>
  <c r="AG187" i="2"/>
  <c r="AF187" i="2"/>
  <c r="AE187" i="2"/>
  <c r="AB187" i="2"/>
  <c r="AA187" i="2"/>
  <c r="Y187" i="2"/>
  <c r="X187" i="2"/>
  <c r="W187" i="2"/>
  <c r="Z187" i="2" s="1"/>
  <c r="AP186" i="2"/>
  <c r="AO186" i="2"/>
  <c r="AL186" i="2"/>
  <c r="AH186" i="2"/>
  <c r="AG186" i="2"/>
  <c r="AF186" i="2"/>
  <c r="AE186" i="2"/>
  <c r="AB186" i="2"/>
  <c r="AN186" i="2" s="1"/>
  <c r="AA186" i="2"/>
  <c r="W186" i="2"/>
  <c r="Z186" i="2" s="1"/>
  <c r="AQ185" i="2"/>
  <c r="AL185" i="2"/>
  <c r="AH185" i="2"/>
  <c r="AG185" i="2"/>
  <c r="AF185" i="2"/>
  <c r="AE185" i="2"/>
  <c r="Y185" i="2"/>
  <c r="X185" i="2"/>
  <c r="W185" i="2"/>
  <c r="Z185" i="2" s="1"/>
  <c r="AQ184" i="2"/>
  <c r="AL184" i="2"/>
  <c r="AH184" i="2"/>
  <c r="AG184" i="2"/>
  <c r="AF184" i="2"/>
  <c r="AE184" i="2"/>
  <c r="AB184" i="2"/>
  <c r="AA184" i="2"/>
  <c r="Y184" i="2"/>
  <c r="X184" i="2"/>
  <c r="W184" i="2"/>
  <c r="AP183" i="2"/>
  <c r="AO183" i="2"/>
  <c r="AL183" i="2"/>
  <c r="AH183" i="2"/>
  <c r="AG183" i="2"/>
  <c r="AF183" i="2"/>
  <c r="AE183" i="2"/>
  <c r="AB183" i="2"/>
  <c r="AN183" i="2" s="1"/>
  <c r="AQ183" i="2" s="1"/>
  <c r="AA183" i="2"/>
  <c r="Y183" i="2"/>
  <c r="X183" i="2"/>
  <c r="W183" i="2"/>
  <c r="Z183" i="2" s="1"/>
  <c r="AL182" i="2"/>
  <c r="AH182" i="2"/>
  <c r="AG182" i="2"/>
  <c r="AF182" i="2"/>
  <c r="AE182" i="2"/>
  <c r="AB182" i="2"/>
  <c r="AN182" i="2" s="1"/>
  <c r="AQ182" i="2" s="1"/>
  <c r="AA182" i="2"/>
  <c r="Y182" i="2"/>
  <c r="X182" i="2"/>
  <c r="W182" i="2"/>
  <c r="AN181" i="2"/>
  <c r="AQ181" i="2" s="1"/>
  <c r="W181" i="2"/>
  <c r="Z181" i="2" s="1"/>
  <c r="AL180" i="2"/>
  <c r="AK180" i="2"/>
  <c r="AJ180" i="2"/>
  <c r="AI180" i="2"/>
  <c r="AH180" i="2"/>
  <c r="AG180" i="2"/>
  <c r="AF180" i="2"/>
  <c r="AE180" i="2"/>
  <c r="AB180" i="2"/>
  <c r="AN180" i="2" s="1"/>
  <c r="AA180" i="2"/>
  <c r="Y180" i="2"/>
  <c r="X180" i="2"/>
  <c r="W180" i="2"/>
  <c r="AP179" i="2"/>
  <c r="AO179" i="2"/>
  <c r="AL179" i="2"/>
  <c r="AH179" i="2"/>
  <c r="AG179" i="2"/>
  <c r="AF179" i="2"/>
  <c r="AE179" i="2"/>
  <c r="AB179" i="2"/>
  <c r="AN179" i="2" s="1"/>
  <c r="AA179" i="2"/>
  <c r="Y179" i="2"/>
  <c r="X179" i="2"/>
  <c r="W179" i="2"/>
  <c r="Z179" i="2" s="1"/>
  <c r="AP178" i="2"/>
  <c r="AO178" i="2"/>
  <c r="AL178" i="2"/>
  <c r="AH178" i="2"/>
  <c r="AG178" i="2"/>
  <c r="AF178" i="2"/>
  <c r="AE178" i="2"/>
  <c r="AB178" i="2"/>
  <c r="AN178" i="2" s="1"/>
  <c r="AQ178" i="2" s="1"/>
  <c r="AA178" i="2"/>
  <c r="Y178" i="2"/>
  <c r="X178" i="2"/>
  <c r="W178" i="2"/>
  <c r="S178" i="2"/>
  <c r="AP177" i="2"/>
  <c r="AO177" i="2"/>
  <c r="AN177" i="2"/>
  <c r="AL177" i="2"/>
  <c r="AH177" i="2"/>
  <c r="AG177" i="2"/>
  <c r="AF177" i="2"/>
  <c r="AE177" i="2"/>
  <c r="AB177" i="2"/>
  <c r="AA177" i="2"/>
  <c r="Y177" i="2"/>
  <c r="X177" i="2"/>
  <c r="W177" i="2"/>
  <c r="AL176" i="2"/>
  <c r="AH176" i="2"/>
  <c r="AG176" i="2"/>
  <c r="AF176" i="2"/>
  <c r="AE176" i="2"/>
  <c r="AB176" i="2"/>
  <c r="AN176" i="2" s="1"/>
  <c r="AA176" i="2"/>
  <c r="Y176" i="2"/>
  <c r="X176" i="2"/>
  <c r="W176" i="2"/>
  <c r="Z176" i="2" s="1"/>
  <c r="AL175" i="2"/>
  <c r="AH175" i="2"/>
  <c r="AG175" i="2"/>
  <c r="AF175" i="2"/>
  <c r="AE175" i="2"/>
  <c r="AB175" i="2"/>
  <c r="AN175" i="2" s="1"/>
  <c r="AA175" i="2"/>
  <c r="Y175" i="2"/>
  <c r="X175" i="2"/>
  <c r="W175" i="2"/>
  <c r="AP174" i="2"/>
  <c r="AO174" i="2"/>
  <c r="AL174" i="2"/>
  <c r="AH174" i="2"/>
  <c r="AG174" i="2"/>
  <c r="AF174" i="2"/>
  <c r="AB174" i="2"/>
  <c r="AN174" i="2" s="1"/>
  <c r="AA174" i="2"/>
  <c r="Y174" i="2"/>
  <c r="X174" i="2"/>
  <c r="N174" i="2"/>
  <c r="W174" i="2" s="1"/>
  <c r="AP173" i="2"/>
  <c r="AO173" i="2"/>
  <c r="AL173" i="2"/>
  <c r="AK173" i="2"/>
  <c r="AH173" i="2"/>
  <c r="AG173" i="2"/>
  <c r="AF173" i="2"/>
  <c r="AE173" i="2"/>
  <c r="AB173" i="2"/>
  <c r="AN173" i="2" s="1"/>
  <c r="AA173" i="2"/>
  <c r="Y173" i="2"/>
  <c r="X173" i="2"/>
  <c r="W173" i="2"/>
  <c r="AP172" i="2"/>
  <c r="AO172" i="2"/>
  <c r="AL172" i="2"/>
  <c r="AH172" i="2"/>
  <c r="AG172" i="2"/>
  <c r="AF172" i="2"/>
  <c r="AB172" i="2"/>
  <c r="AN172" i="2" s="1"/>
  <c r="AA172" i="2"/>
  <c r="M172" i="2"/>
  <c r="W172" i="2" s="1"/>
  <c r="AP171" i="2"/>
  <c r="AO171" i="2"/>
  <c r="AL171" i="2"/>
  <c r="AH171" i="2"/>
  <c r="AG171" i="2"/>
  <c r="AF171" i="2"/>
  <c r="AE171" i="2"/>
  <c r="AB171" i="2"/>
  <c r="AN171" i="2" s="1"/>
  <c r="AA171" i="2"/>
  <c r="Y171" i="2"/>
  <c r="Z171" i="2" s="1"/>
  <c r="W171" i="2"/>
  <c r="AP170" i="2"/>
  <c r="AO170" i="2"/>
  <c r="AL170" i="2"/>
  <c r="AH170" i="2"/>
  <c r="AG170" i="2"/>
  <c r="AF170" i="2"/>
  <c r="AE170" i="2"/>
  <c r="AB170" i="2"/>
  <c r="AN170" i="2" s="1"/>
  <c r="AA170" i="2"/>
  <c r="Y170" i="2"/>
  <c r="X170" i="2"/>
  <c r="W170" i="2"/>
  <c r="AN169" i="2"/>
  <c r="Z169" i="2"/>
  <c r="Y169" i="2"/>
  <c r="X169" i="2"/>
  <c r="W169" i="2"/>
  <c r="AL168" i="2"/>
  <c r="AH168" i="2"/>
  <c r="AG168" i="2"/>
  <c r="AF168" i="2"/>
  <c r="AE168" i="2"/>
  <c r="AB168" i="2"/>
  <c r="AN168" i="2" s="1"/>
  <c r="AA168" i="2"/>
  <c r="Y168" i="2"/>
  <c r="X168" i="2"/>
  <c r="W168" i="2"/>
  <c r="AP167" i="2"/>
  <c r="AO167" i="2"/>
  <c r="AL167" i="2"/>
  <c r="AH167" i="2"/>
  <c r="AG167" i="2"/>
  <c r="AF167" i="2"/>
  <c r="AB167" i="2"/>
  <c r="AN167" i="2" s="1"/>
  <c r="AA167" i="2"/>
  <c r="Y167" i="2"/>
  <c r="X167" i="2"/>
  <c r="M167" i="2"/>
  <c r="AE167" i="2" s="1"/>
  <c r="AP166" i="2"/>
  <c r="AO166" i="2"/>
  <c r="AL166" i="2"/>
  <c r="AH166" i="2"/>
  <c r="AG166" i="2"/>
  <c r="AF166" i="2"/>
  <c r="AB166" i="2"/>
  <c r="AN166" i="2" s="1"/>
  <c r="AA166" i="2"/>
  <c r="Y166" i="2"/>
  <c r="X166" i="2"/>
  <c r="N166" i="2"/>
  <c r="AE166" i="2" s="1"/>
  <c r="AP165" i="2"/>
  <c r="AO165" i="2"/>
  <c r="AL165" i="2"/>
  <c r="AH165" i="2"/>
  <c r="AG165" i="2"/>
  <c r="AF165" i="2"/>
  <c r="AE165" i="2"/>
  <c r="AB165" i="2"/>
  <c r="AN165" i="2" s="1"/>
  <c r="AA165" i="2"/>
  <c r="Y165" i="2"/>
  <c r="X165" i="2"/>
  <c r="W165" i="2"/>
  <c r="AL164" i="2"/>
  <c r="AH164" i="2"/>
  <c r="AG164" i="2"/>
  <c r="AF164" i="2"/>
  <c r="AB164" i="2"/>
  <c r="AN164" i="2" s="1"/>
  <c r="AQ164" i="2" s="1"/>
  <c r="AA164" i="2"/>
  <c r="Y164" i="2"/>
  <c r="X164" i="2"/>
  <c r="N164" i="2"/>
  <c r="W164" i="2" s="1"/>
  <c r="Z164" i="2" s="1"/>
  <c r="AP163" i="2"/>
  <c r="AO163" i="2"/>
  <c r="AL163" i="2"/>
  <c r="AH163" i="2"/>
  <c r="AG163" i="2"/>
  <c r="AF163" i="2"/>
  <c r="AE163" i="2"/>
  <c r="AB163" i="2"/>
  <c r="AN163" i="2" s="1"/>
  <c r="AA163" i="2"/>
  <c r="Y163" i="2"/>
  <c r="X163" i="2"/>
  <c r="W163" i="2"/>
  <c r="AO162" i="2"/>
  <c r="AL162" i="2"/>
  <c r="AH162" i="2"/>
  <c r="AG162" i="2"/>
  <c r="AF162" i="2"/>
  <c r="AE162" i="2"/>
  <c r="AB162" i="2"/>
  <c r="AN162" i="2" s="1"/>
  <c r="AQ162" i="2" s="1"/>
  <c r="AA162" i="2"/>
  <c r="Y162" i="2"/>
  <c r="X162" i="2"/>
  <c r="W162" i="2"/>
  <c r="AP161" i="2"/>
  <c r="AO161" i="2"/>
  <c r="AL161" i="2"/>
  <c r="AH161" i="2"/>
  <c r="AG161" i="2"/>
  <c r="AF161" i="2"/>
  <c r="AE161" i="2"/>
  <c r="AB161" i="2"/>
  <c r="AN161" i="2" s="1"/>
  <c r="AA161" i="2"/>
  <c r="Y161" i="2"/>
  <c r="X161" i="2"/>
  <c r="W161" i="2"/>
  <c r="Z161" i="2" s="1"/>
  <c r="AP160" i="2"/>
  <c r="AO160" i="2"/>
  <c r="AL160" i="2"/>
  <c r="AH160" i="2"/>
  <c r="AG160" i="2"/>
  <c r="AF160" i="2"/>
  <c r="AE160" i="2"/>
  <c r="AB160" i="2"/>
  <c r="AN160" i="2" s="1"/>
  <c r="AA160" i="2"/>
  <c r="Y160" i="2"/>
  <c r="X160" i="2"/>
  <c r="W160" i="2"/>
  <c r="AP159" i="2"/>
  <c r="AO159" i="2"/>
  <c r="AL159" i="2"/>
  <c r="AH159" i="2"/>
  <c r="AG159" i="2"/>
  <c r="AF159" i="2"/>
  <c r="AE159" i="2"/>
  <c r="AB159" i="2"/>
  <c r="AN159" i="2" s="1"/>
  <c r="AA159" i="2"/>
  <c r="Y159" i="2"/>
  <c r="X159" i="2"/>
  <c r="W159" i="2"/>
  <c r="AL158" i="2"/>
  <c r="AH158" i="2"/>
  <c r="AE158" i="2"/>
  <c r="AB158" i="2"/>
  <c r="AN158" i="2" s="1"/>
  <c r="AQ158" i="2" s="1"/>
  <c r="AA158" i="2"/>
  <c r="Z158" i="2"/>
  <c r="W158" i="2"/>
  <c r="AP157" i="2"/>
  <c r="AO157" i="2"/>
  <c r="AL157" i="2"/>
  <c r="AH157" i="2"/>
  <c r="AG157" i="2"/>
  <c r="AF157" i="2"/>
  <c r="AE157" i="2"/>
  <c r="AB157" i="2"/>
  <c r="AN157" i="2" s="1"/>
  <c r="AA157" i="2"/>
  <c r="Y157" i="2"/>
  <c r="X157" i="2"/>
  <c r="W157" i="2"/>
  <c r="AP156" i="2"/>
  <c r="AO156" i="2"/>
  <c r="AN156" i="2"/>
  <c r="AL156" i="2"/>
  <c r="AH156" i="2"/>
  <c r="AG156" i="2"/>
  <c r="AF156" i="2"/>
  <c r="AE156" i="2"/>
  <c r="AB156" i="2"/>
  <c r="AA156" i="2"/>
  <c r="Y156" i="2"/>
  <c r="X156" i="2"/>
  <c r="W156" i="2"/>
  <c r="AN155" i="2"/>
  <c r="AE155" i="2"/>
  <c r="Z155" i="2"/>
  <c r="W155" i="2"/>
  <c r="AP154" i="2"/>
  <c r="AN154" i="2"/>
  <c r="AL154" i="2"/>
  <c r="AH154" i="2"/>
  <c r="AG154" i="2"/>
  <c r="AF154" i="2"/>
  <c r="AE154" i="2"/>
  <c r="AB154" i="2"/>
  <c r="Y154" i="2"/>
  <c r="W154" i="2"/>
  <c r="AP153" i="2"/>
  <c r="AO153" i="2"/>
  <c r="AL153" i="2"/>
  <c r="AH153" i="2"/>
  <c r="AG153" i="2"/>
  <c r="AF153" i="2"/>
  <c r="AE153" i="2"/>
  <c r="AB153" i="2"/>
  <c r="AN153" i="2" s="1"/>
  <c r="AA153" i="2"/>
  <c r="Y153" i="2"/>
  <c r="X153" i="2"/>
  <c r="W153" i="2"/>
  <c r="AN152" i="2"/>
  <c r="AE152" i="2"/>
  <c r="Y152" i="2"/>
  <c r="X152" i="2"/>
  <c r="W152" i="2"/>
  <c r="AP151" i="2"/>
  <c r="AO151" i="2"/>
  <c r="AL151" i="2"/>
  <c r="AH151" i="2"/>
  <c r="AG151" i="2"/>
  <c r="AF151" i="2"/>
  <c r="AE151" i="2"/>
  <c r="AB151" i="2"/>
  <c r="AN151" i="2" s="1"/>
  <c r="AA151" i="2"/>
  <c r="Y151" i="2"/>
  <c r="X151" i="2"/>
  <c r="N151" i="2"/>
  <c r="W151" i="2" s="1"/>
  <c r="AP150" i="2"/>
  <c r="AO150" i="2"/>
  <c r="AN150" i="2"/>
  <c r="AL150" i="2"/>
  <c r="AH150" i="2"/>
  <c r="AG150" i="2"/>
  <c r="AF150" i="2"/>
  <c r="AE150" i="2"/>
  <c r="AB150" i="2"/>
  <c r="AA150" i="2"/>
  <c r="Y150" i="2"/>
  <c r="X150" i="2"/>
  <c r="W150" i="2"/>
  <c r="AP149" i="2"/>
  <c r="AL149" i="2"/>
  <c r="AH149" i="2"/>
  <c r="AG149" i="2"/>
  <c r="AF149" i="2"/>
  <c r="AE149" i="2"/>
  <c r="AB149" i="2"/>
  <c r="AN149" i="2" s="1"/>
  <c r="AQ149" i="2" s="1"/>
  <c r="AA149" i="2"/>
  <c r="Y149" i="2"/>
  <c r="X149" i="2"/>
  <c r="W149" i="2"/>
  <c r="AP148" i="2"/>
  <c r="AO148" i="2"/>
  <c r="AL148" i="2"/>
  <c r="AH148" i="2"/>
  <c r="AG148" i="2"/>
  <c r="AF148" i="2"/>
  <c r="AE148" i="2"/>
  <c r="AB148" i="2"/>
  <c r="AN148" i="2" s="1"/>
  <c r="AA148" i="2"/>
  <c r="Y148" i="2"/>
  <c r="X148" i="2"/>
  <c r="W148" i="2"/>
  <c r="AP147" i="2"/>
  <c r="AO147" i="2"/>
  <c r="AN147" i="2"/>
  <c r="AL147" i="2"/>
  <c r="AH147" i="2"/>
  <c r="AG147" i="2"/>
  <c r="AF147" i="2"/>
  <c r="AE147" i="2"/>
  <c r="AA147" i="2"/>
  <c r="Y147" i="2"/>
  <c r="X147" i="2"/>
  <c r="W147" i="2"/>
  <c r="AQ146" i="2"/>
  <c r="AP146" i="2"/>
  <c r="AO146" i="2"/>
  <c r="AN146" i="2"/>
  <c r="AL146" i="2"/>
  <c r="AH146" i="2"/>
  <c r="AG146" i="2"/>
  <c r="AF146" i="2"/>
  <c r="AE146" i="2"/>
  <c r="AB146" i="2"/>
  <c r="AA146" i="2"/>
  <c r="Y146" i="2"/>
  <c r="X146" i="2"/>
  <c r="W146" i="2"/>
  <c r="AP145" i="2"/>
  <c r="AO145" i="2"/>
  <c r="AL145" i="2"/>
  <c r="AH145" i="2"/>
  <c r="AG145" i="2"/>
  <c r="AF145" i="2"/>
  <c r="AB145" i="2"/>
  <c r="AN145" i="2" s="1"/>
  <c r="AA145" i="2"/>
  <c r="Y145" i="2"/>
  <c r="X145" i="2"/>
  <c r="W145" i="2"/>
  <c r="N145" i="2"/>
  <c r="AE145" i="2" s="1"/>
  <c r="AP144" i="2"/>
  <c r="AO144" i="2"/>
  <c r="AL144" i="2"/>
  <c r="AH144" i="2"/>
  <c r="AG144" i="2"/>
  <c r="AF144" i="2"/>
  <c r="AE144" i="2"/>
  <c r="AB144" i="2"/>
  <c r="AN144" i="2" s="1"/>
  <c r="AA144" i="2"/>
  <c r="Y144" i="2"/>
  <c r="X144" i="2"/>
  <c r="W144" i="2"/>
  <c r="AP143" i="2"/>
  <c r="AO143" i="2"/>
  <c r="AL143" i="2"/>
  <c r="AH143" i="2"/>
  <c r="AG143" i="2"/>
  <c r="AF143" i="2"/>
  <c r="AE143" i="2"/>
  <c r="AB143" i="2"/>
  <c r="AN143" i="2" s="1"/>
  <c r="AA143" i="2"/>
  <c r="Y143" i="2"/>
  <c r="X143" i="2"/>
  <c r="W143" i="2"/>
  <c r="Z143" i="2" s="1"/>
  <c r="AP142" i="2"/>
  <c r="AO142" i="2"/>
  <c r="AN142" i="2"/>
  <c r="AQ142" i="2" s="1"/>
  <c r="AL142" i="2"/>
  <c r="AH142" i="2"/>
  <c r="AG142" i="2"/>
  <c r="AF142" i="2"/>
  <c r="AE142" i="2"/>
  <c r="AB142" i="2"/>
  <c r="AA142" i="2"/>
  <c r="Z142" i="2"/>
  <c r="Y142" i="2"/>
  <c r="X142" i="2"/>
  <c r="W142" i="2"/>
  <c r="AQ141" i="2"/>
  <c r="AN141" i="2"/>
  <c r="Z141" i="2"/>
  <c r="W141" i="2"/>
  <c r="AP140" i="2"/>
  <c r="AO140" i="2"/>
  <c r="AL140" i="2"/>
  <c r="AH140" i="2"/>
  <c r="AG140" i="2"/>
  <c r="AF140" i="2"/>
  <c r="AB140" i="2"/>
  <c r="AN140" i="2" s="1"/>
  <c r="AA140" i="2"/>
  <c r="Y140" i="2"/>
  <c r="X140" i="2"/>
  <c r="N140" i="2"/>
  <c r="W140" i="2" s="1"/>
  <c r="AL139" i="2"/>
  <c r="AH139" i="2"/>
  <c r="AG139" i="2"/>
  <c r="AF139" i="2"/>
  <c r="AE139" i="2"/>
  <c r="AB139" i="2"/>
  <c r="AN139" i="2" s="1"/>
  <c r="AQ139" i="2" s="1"/>
  <c r="AA139" i="2"/>
  <c r="Y139" i="2"/>
  <c r="X139" i="2"/>
  <c r="W139" i="2"/>
  <c r="AP138" i="2"/>
  <c r="AO138" i="2"/>
  <c r="AL138" i="2"/>
  <c r="AH138" i="2"/>
  <c r="AG138" i="2"/>
  <c r="AF138" i="2"/>
  <c r="AE138" i="2"/>
  <c r="AB138" i="2"/>
  <c r="AN138" i="2" s="1"/>
  <c r="AQ138" i="2" s="1"/>
  <c r="AA138" i="2"/>
  <c r="Y138" i="2"/>
  <c r="X138" i="2"/>
  <c r="W138" i="2"/>
  <c r="AP137" i="2"/>
  <c r="AO137" i="2"/>
  <c r="AN137" i="2"/>
  <c r="AQ137" i="2" s="1"/>
  <c r="AL137" i="2"/>
  <c r="AH137" i="2"/>
  <c r="AG137" i="2"/>
  <c r="AF137" i="2"/>
  <c r="AB137" i="2"/>
  <c r="AA137" i="2"/>
  <c r="Y137" i="2"/>
  <c r="X137" i="2"/>
  <c r="N137" i="2"/>
  <c r="AE137" i="2" s="1"/>
  <c r="AP136" i="2"/>
  <c r="AO136" i="2"/>
  <c r="AL136" i="2"/>
  <c r="AH136" i="2"/>
  <c r="AG136" i="2"/>
  <c r="AF136" i="2"/>
  <c r="AE136" i="2"/>
  <c r="AB136" i="2"/>
  <c r="AN136" i="2" s="1"/>
  <c r="AQ136" i="2" s="1"/>
  <c r="AA136" i="2"/>
  <c r="Y136" i="2"/>
  <c r="X136" i="2"/>
  <c r="W136" i="2"/>
  <c r="AP135" i="2"/>
  <c r="AO135" i="2"/>
  <c r="AN135" i="2"/>
  <c r="AL135" i="2"/>
  <c r="AH135" i="2"/>
  <c r="AG135" i="2"/>
  <c r="AF135" i="2"/>
  <c r="AE135" i="2"/>
  <c r="AA135" i="2"/>
  <c r="Y135" i="2"/>
  <c r="X135" i="2"/>
  <c r="W135" i="2"/>
  <c r="AL134" i="2"/>
  <c r="AH134" i="2"/>
  <c r="AG134" i="2"/>
  <c r="AF134" i="2"/>
  <c r="AB134" i="2"/>
  <c r="AN134" i="2" s="1"/>
  <c r="AQ134" i="2" s="1"/>
  <c r="AA134" i="2"/>
  <c r="Y134" i="2"/>
  <c r="X134" i="2"/>
  <c r="W134" i="2"/>
  <c r="N134" i="2"/>
  <c r="AE134" i="2" s="1"/>
  <c r="AP133" i="2"/>
  <c r="AO133" i="2"/>
  <c r="AL133" i="2"/>
  <c r="AH133" i="2"/>
  <c r="AG133" i="2"/>
  <c r="AF133" i="2"/>
  <c r="AE133" i="2"/>
  <c r="AB133" i="2"/>
  <c r="AN133" i="2" s="1"/>
  <c r="AA133" i="2"/>
  <c r="Y133" i="2"/>
  <c r="X133" i="2"/>
  <c r="W133" i="2"/>
  <c r="Z133" i="2" s="1"/>
  <c r="AP132" i="2"/>
  <c r="AO132" i="2"/>
  <c r="AL132" i="2"/>
  <c r="AH132" i="2"/>
  <c r="AG132" i="2"/>
  <c r="AF132" i="2"/>
  <c r="AE132" i="2"/>
  <c r="AB132" i="2"/>
  <c r="AN132" i="2" s="1"/>
  <c r="AA132" i="2"/>
  <c r="X132" i="2"/>
  <c r="W132" i="2"/>
  <c r="AP131" i="2"/>
  <c r="AO131" i="2"/>
  <c r="AL131" i="2"/>
  <c r="AH131" i="2"/>
  <c r="AG131" i="2"/>
  <c r="AF131" i="2"/>
  <c r="AB131" i="2"/>
  <c r="AN131" i="2" s="1"/>
  <c r="AA131" i="2"/>
  <c r="Y131" i="2"/>
  <c r="X131" i="2"/>
  <c r="W131" i="2"/>
  <c r="Z131" i="2" s="1"/>
  <c r="N131" i="2"/>
  <c r="AE131" i="2" s="1"/>
  <c r="AP130" i="2"/>
  <c r="AO130" i="2"/>
  <c r="AN130" i="2"/>
  <c r="AQ130" i="2" s="1"/>
  <c r="AL130" i="2"/>
  <c r="AH130" i="2"/>
  <c r="AG130" i="2"/>
  <c r="AF130" i="2"/>
  <c r="AE130" i="2"/>
  <c r="Y130" i="2"/>
  <c r="X130" i="2"/>
  <c r="W130" i="2"/>
  <c r="S130" i="2"/>
  <c r="AP129" i="2"/>
  <c r="AO129" i="2"/>
  <c r="AN129" i="2"/>
  <c r="AL129" i="2"/>
  <c r="AH129" i="2"/>
  <c r="AG129" i="2"/>
  <c r="AF129" i="2"/>
  <c r="AB129" i="2"/>
  <c r="AA129" i="2"/>
  <c r="Y129" i="2"/>
  <c r="X129" i="2"/>
  <c r="S129" i="2"/>
  <c r="N129" i="2"/>
  <c r="W129" i="2" s="1"/>
  <c r="AP128" i="2"/>
  <c r="AO128" i="2"/>
  <c r="AL128" i="2"/>
  <c r="AK128" i="2"/>
  <c r="AJ128" i="2"/>
  <c r="AH128" i="2"/>
  <c r="AG128" i="2"/>
  <c r="AF128" i="2"/>
  <c r="AB128" i="2"/>
  <c r="AN128" i="2" s="1"/>
  <c r="AQ128" i="2" s="1"/>
  <c r="AA128" i="2"/>
  <c r="Y128" i="2"/>
  <c r="X128" i="2"/>
  <c r="N128" i="2"/>
  <c r="W128" i="2" s="1"/>
  <c r="AP127" i="2"/>
  <c r="AO127" i="2"/>
  <c r="AL127" i="2"/>
  <c r="AH127" i="2"/>
  <c r="AG127" i="2"/>
  <c r="AF127" i="2"/>
  <c r="AE127" i="2"/>
  <c r="AB127" i="2"/>
  <c r="AN127" i="2" s="1"/>
  <c r="AA127" i="2"/>
  <c r="Y127" i="2"/>
  <c r="X127" i="2"/>
  <c r="S127" i="2"/>
  <c r="N127" i="2"/>
  <c r="W127" i="2" s="1"/>
  <c r="AP126" i="2"/>
  <c r="AO126" i="2"/>
  <c r="AL126" i="2"/>
  <c r="AH126" i="2"/>
  <c r="AG126" i="2"/>
  <c r="AF126" i="2"/>
  <c r="AE126" i="2"/>
  <c r="AB126" i="2"/>
  <c r="AN126" i="2" s="1"/>
  <c r="AA126" i="2"/>
  <c r="Y126" i="2"/>
  <c r="X126" i="2"/>
  <c r="W126" i="2"/>
  <c r="AP125" i="2"/>
  <c r="AO125" i="2"/>
  <c r="AL125" i="2"/>
  <c r="AH125" i="2"/>
  <c r="AG125" i="2"/>
  <c r="AF125" i="2"/>
  <c r="AB125" i="2"/>
  <c r="AN125" i="2" s="1"/>
  <c r="AA125" i="2"/>
  <c r="Y125" i="2"/>
  <c r="X125" i="2"/>
  <c r="N125" i="2"/>
  <c r="AE125" i="2" s="1"/>
  <c r="AP124" i="2"/>
  <c r="AO124" i="2"/>
  <c r="AL124" i="2"/>
  <c r="AH124" i="2"/>
  <c r="AG124" i="2"/>
  <c r="AF124" i="2"/>
  <c r="AE124" i="2"/>
  <c r="AB124" i="2"/>
  <c r="AN124" i="2" s="1"/>
  <c r="AA124" i="2"/>
  <c r="Y124" i="2"/>
  <c r="X124" i="2"/>
  <c r="W124" i="2"/>
  <c r="AP123" i="2"/>
  <c r="AO123" i="2"/>
  <c r="AN123" i="2"/>
  <c r="AL123" i="2"/>
  <c r="AH123" i="2"/>
  <c r="AG123" i="2"/>
  <c r="AF123" i="2"/>
  <c r="AE123" i="2"/>
  <c r="AB123" i="2"/>
  <c r="AA123" i="2"/>
  <c r="Y123" i="2"/>
  <c r="X123" i="2"/>
  <c r="W123" i="2"/>
  <c r="AP122" i="2"/>
  <c r="AO122" i="2"/>
  <c r="AL122" i="2"/>
  <c r="AH122" i="2"/>
  <c r="AG122" i="2"/>
  <c r="AF122" i="2"/>
  <c r="AE122" i="2"/>
  <c r="AB122" i="2"/>
  <c r="AN122" i="2" s="1"/>
  <c r="AQ122" i="2" s="1"/>
  <c r="AA122" i="2"/>
  <c r="Y122" i="2"/>
  <c r="X122" i="2"/>
  <c r="W122" i="2"/>
  <c r="AP121" i="2"/>
  <c r="AO121" i="2"/>
  <c r="AN121" i="2"/>
  <c r="AL121" i="2"/>
  <c r="AH121" i="2"/>
  <c r="AG121" i="2"/>
  <c r="AF121" i="2"/>
  <c r="AE121" i="2"/>
  <c r="AB121" i="2"/>
  <c r="AA121" i="2"/>
  <c r="Y121" i="2"/>
  <c r="X121" i="2"/>
  <c r="W121" i="2"/>
  <c r="Z121" i="2" s="1"/>
  <c r="AP120" i="2"/>
  <c r="AO120" i="2"/>
  <c r="AL120" i="2"/>
  <c r="AH120" i="2"/>
  <c r="AG120" i="2"/>
  <c r="AF120" i="2"/>
  <c r="AB120" i="2"/>
  <c r="AN120" i="2" s="1"/>
  <c r="AQ120" i="2" s="1"/>
  <c r="AA120" i="2"/>
  <c r="Y120" i="2"/>
  <c r="X120" i="2"/>
  <c r="N120" i="2"/>
  <c r="W120" i="2" s="1"/>
  <c r="AP119" i="2"/>
  <c r="AO119" i="2"/>
  <c r="AL119" i="2"/>
  <c r="AH119" i="2"/>
  <c r="AG119" i="2"/>
  <c r="AF119" i="2"/>
  <c r="AB119" i="2"/>
  <c r="AN119" i="2" s="1"/>
  <c r="AA119" i="2"/>
  <c r="Y119" i="2"/>
  <c r="X119" i="2"/>
  <c r="N119" i="2"/>
  <c r="AE119" i="2" s="1"/>
  <c r="AP118" i="2"/>
  <c r="AO118" i="2"/>
  <c r="AN118" i="2"/>
  <c r="AQ118" i="2" s="1"/>
  <c r="AL118" i="2"/>
  <c r="AH118" i="2"/>
  <c r="AG118" i="2"/>
  <c r="AF118" i="2"/>
  <c r="AE118" i="2"/>
  <c r="AB118" i="2"/>
  <c r="AA118" i="2"/>
  <c r="Y118" i="2"/>
  <c r="X118" i="2"/>
  <c r="W118" i="2"/>
  <c r="AP117" i="2"/>
  <c r="AO117" i="2"/>
  <c r="AH117" i="2"/>
  <c r="AG117" i="2"/>
  <c r="AF117" i="2"/>
  <c r="AE117" i="2"/>
  <c r="AB117" i="2"/>
  <c r="AN117" i="2" s="1"/>
  <c r="AA117" i="2"/>
  <c r="Y117" i="2"/>
  <c r="X117" i="2"/>
  <c r="W117" i="2"/>
  <c r="AP116" i="2"/>
  <c r="AO116" i="2"/>
  <c r="AN116" i="2"/>
  <c r="AQ116" i="2" s="1"/>
  <c r="AL116" i="2"/>
  <c r="AH116" i="2"/>
  <c r="AG116" i="2"/>
  <c r="AF116" i="2"/>
  <c r="AB116" i="2"/>
  <c r="AA116" i="2"/>
  <c r="Y116" i="2"/>
  <c r="X116" i="2"/>
  <c r="N116" i="2"/>
  <c r="AE116" i="2" s="1"/>
  <c r="AP115" i="2"/>
  <c r="AO115" i="2"/>
  <c r="AN115" i="2"/>
  <c r="AQ115" i="2" s="1"/>
  <c r="AL115" i="2"/>
  <c r="AH115" i="2"/>
  <c r="AG115" i="2"/>
  <c r="AF115" i="2"/>
  <c r="AE115" i="2"/>
  <c r="AB115" i="2"/>
  <c r="AA115" i="2"/>
  <c r="Y115" i="2"/>
  <c r="X115" i="2"/>
  <c r="W115" i="2"/>
  <c r="AP114" i="2"/>
  <c r="AO114" i="2"/>
  <c r="AL114" i="2"/>
  <c r="AH114" i="2"/>
  <c r="AG114" i="2"/>
  <c r="AF114" i="2"/>
  <c r="AE114" i="2"/>
  <c r="AB114" i="2"/>
  <c r="AN114" i="2" s="1"/>
  <c r="AA114" i="2"/>
  <c r="Y114" i="2"/>
  <c r="X114" i="2"/>
  <c r="S114" i="2"/>
  <c r="N114" i="2"/>
  <c r="W114" i="2" s="1"/>
  <c r="AP113" i="2"/>
  <c r="AO113" i="2"/>
  <c r="AL113" i="2"/>
  <c r="AH113" i="2"/>
  <c r="AG113" i="2"/>
  <c r="AF113" i="2"/>
  <c r="AE113" i="2"/>
  <c r="AB113" i="2"/>
  <c r="AN113" i="2" s="1"/>
  <c r="AA113" i="2"/>
  <c r="Y113" i="2"/>
  <c r="X113" i="2"/>
  <c r="W113" i="2"/>
  <c r="AL112" i="2"/>
  <c r="AH112" i="2"/>
  <c r="AG112" i="2"/>
  <c r="AF112" i="2"/>
  <c r="AE112" i="2"/>
  <c r="AB112" i="2"/>
  <c r="AN112" i="2" s="1"/>
  <c r="AA112" i="2"/>
  <c r="Y112" i="2"/>
  <c r="X112" i="2"/>
  <c r="W112" i="2"/>
  <c r="N112" i="2"/>
  <c r="AN111" i="2"/>
  <c r="AL111" i="2"/>
  <c r="AH111" i="2"/>
  <c r="AG111" i="2"/>
  <c r="AF111" i="2"/>
  <c r="AE111" i="2"/>
  <c r="AB111" i="2"/>
  <c r="AA111" i="2"/>
  <c r="Z111" i="2"/>
  <c r="Y111" i="2"/>
  <c r="X111" i="2"/>
  <c r="W111" i="2"/>
  <c r="AP110" i="2"/>
  <c r="AO110" i="2"/>
  <c r="AL110" i="2"/>
  <c r="AH110" i="2"/>
  <c r="AG110" i="2"/>
  <c r="AF110" i="2"/>
  <c r="AE110" i="2"/>
  <c r="AB110" i="2"/>
  <c r="AN110" i="2" s="1"/>
  <c r="AA110" i="2"/>
  <c r="Y110" i="2"/>
  <c r="X110" i="2"/>
  <c r="W110" i="2"/>
  <c r="AP109" i="2"/>
  <c r="AO109" i="2"/>
  <c r="AL109" i="2"/>
  <c r="AH109" i="2"/>
  <c r="AG109" i="2"/>
  <c r="AF109" i="2"/>
  <c r="AE109" i="2"/>
  <c r="AB109" i="2"/>
  <c r="AN109" i="2" s="1"/>
  <c r="AA109" i="2"/>
  <c r="Y109" i="2"/>
  <c r="X109" i="2"/>
  <c r="W109" i="2"/>
  <c r="Z109" i="2" s="1"/>
  <c r="AP108" i="2"/>
  <c r="AO108" i="2"/>
  <c r="AL108" i="2"/>
  <c r="AH108" i="2"/>
  <c r="AG108" i="2"/>
  <c r="AF108" i="2"/>
  <c r="AE108" i="2"/>
  <c r="AB108" i="2"/>
  <c r="AN108" i="2" s="1"/>
  <c r="AA108" i="2"/>
  <c r="Y108" i="2"/>
  <c r="X108" i="2"/>
  <c r="W108" i="2"/>
  <c r="Z108" i="2" s="1"/>
  <c r="AP107" i="2"/>
  <c r="AO107" i="2"/>
  <c r="AL107" i="2"/>
  <c r="AH107" i="2"/>
  <c r="AG107" i="2"/>
  <c r="AF107" i="2"/>
  <c r="AE107" i="2"/>
  <c r="AB107" i="2"/>
  <c r="AN107" i="2" s="1"/>
  <c r="AA107" i="2"/>
  <c r="Y107" i="2"/>
  <c r="X107" i="2"/>
  <c r="W107" i="2"/>
  <c r="AL106" i="2"/>
  <c r="AH106" i="2"/>
  <c r="AG106" i="2"/>
  <c r="AF106" i="2"/>
  <c r="AB106" i="2"/>
  <c r="AN106" i="2" s="1"/>
  <c r="AQ106" i="2" s="1"/>
  <c r="AA106" i="2"/>
  <c r="Y106" i="2"/>
  <c r="X106" i="2"/>
  <c r="N106" i="2"/>
  <c r="AE106" i="2" s="1"/>
  <c r="AP105" i="2"/>
  <c r="AO105" i="2"/>
  <c r="AL105" i="2"/>
  <c r="AH105" i="2"/>
  <c r="AG105" i="2"/>
  <c r="AF105" i="2"/>
  <c r="AE105" i="2"/>
  <c r="AB105" i="2"/>
  <c r="AN105" i="2" s="1"/>
  <c r="AQ105" i="2" s="1"/>
  <c r="AA105" i="2"/>
  <c r="Y105" i="2"/>
  <c r="X105" i="2"/>
  <c r="W105" i="2"/>
  <c r="AP104" i="2"/>
  <c r="AO104" i="2"/>
  <c r="AL104" i="2"/>
  <c r="AH104" i="2"/>
  <c r="AG104" i="2"/>
  <c r="AF104" i="2"/>
  <c r="AB104" i="2"/>
  <c r="AN104" i="2" s="1"/>
  <c r="AA104" i="2"/>
  <c r="Y104" i="2"/>
  <c r="X104" i="2"/>
  <c r="N104" i="2"/>
  <c r="AE104" i="2" s="1"/>
  <c r="AP103" i="2"/>
  <c r="AO103" i="2"/>
  <c r="AL103" i="2"/>
  <c r="AH103" i="2"/>
  <c r="AG103" i="2"/>
  <c r="AF103" i="2"/>
  <c r="AE103" i="2"/>
  <c r="AB103" i="2"/>
  <c r="AN103" i="2" s="1"/>
  <c r="AA103" i="2"/>
  <c r="Y103" i="2"/>
  <c r="X103" i="2"/>
  <c r="W103" i="2"/>
  <c r="AN102" i="2"/>
  <c r="AQ102" i="2" s="1"/>
  <c r="W102" i="2"/>
  <c r="Z102" i="2" s="1"/>
  <c r="AP101" i="2"/>
  <c r="AO101" i="2"/>
  <c r="AL101" i="2"/>
  <c r="AH101" i="2"/>
  <c r="AG101" i="2"/>
  <c r="AF101" i="2"/>
  <c r="AB101" i="2"/>
  <c r="AN101" i="2" s="1"/>
  <c r="AA101" i="2"/>
  <c r="Y101" i="2"/>
  <c r="X101" i="2"/>
  <c r="N101" i="2"/>
  <c r="W101" i="2" s="1"/>
  <c r="Z101" i="2" s="1"/>
  <c r="AP100" i="2"/>
  <c r="AO100" i="2"/>
  <c r="AL100" i="2"/>
  <c r="AH100" i="2"/>
  <c r="AG100" i="2"/>
  <c r="AF100" i="2"/>
  <c r="AE100" i="2"/>
  <c r="AB100" i="2"/>
  <c r="AN100" i="2" s="1"/>
  <c r="AQ100" i="2" s="1"/>
  <c r="AA100" i="2"/>
  <c r="Y100" i="2"/>
  <c r="X100" i="2"/>
  <c r="W100" i="2"/>
  <c r="AP99" i="2"/>
  <c r="AO99" i="2"/>
  <c r="AL99" i="2"/>
  <c r="AH99" i="2"/>
  <c r="AG99" i="2"/>
  <c r="AF99" i="2"/>
  <c r="AE99" i="2"/>
  <c r="AB99" i="2"/>
  <c r="AN99" i="2" s="1"/>
  <c r="AQ99" i="2" s="1"/>
  <c r="AA99" i="2"/>
  <c r="Y99" i="2"/>
  <c r="X99" i="2"/>
  <c r="W99" i="2"/>
  <c r="Z99" i="2" s="1"/>
  <c r="AP98" i="2"/>
  <c r="AO98" i="2"/>
  <c r="AL98" i="2"/>
  <c r="AH98" i="2"/>
  <c r="AG98" i="2"/>
  <c r="AF98" i="2"/>
  <c r="AE98" i="2"/>
  <c r="AB98" i="2"/>
  <c r="AN98" i="2" s="1"/>
  <c r="AA98" i="2"/>
  <c r="Y98" i="2"/>
  <c r="X98" i="2"/>
  <c r="W98" i="2"/>
  <c r="AP97" i="2"/>
  <c r="AO97" i="2"/>
  <c r="AL97" i="2"/>
  <c r="AH97" i="2"/>
  <c r="AG97" i="2"/>
  <c r="AF97" i="2"/>
  <c r="AB97" i="2"/>
  <c r="AN97" i="2" s="1"/>
  <c r="AA97" i="2"/>
  <c r="Y97" i="2"/>
  <c r="X97" i="2"/>
  <c r="N97" i="2"/>
  <c r="AE97" i="2" s="1"/>
  <c r="AP96" i="2"/>
  <c r="AO96" i="2"/>
  <c r="AL96" i="2"/>
  <c r="AK96" i="2"/>
  <c r="AJ96" i="2"/>
  <c r="AH96" i="2"/>
  <c r="AG96" i="2"/>
  <c r="AF96" i="2"/>
  <c r="AB96" i="2"/>
  <c r="AN96" i="2" s="1"/>
  <c r="AA96" i="2"/>
  <c r="Y96" i="2"/>
  <c r="X96" i="2"/>
  <c r="W96" i="2"/>
  <c r="Z96" i="2" s="1"/>
  <c r="N96" i="2"/>
  <c r="AE96" i="2" s="1"/>
  <c r="AP95" i="2"/>
  <c r="AO95" i="2"/>
  <c r="AN95" i="2"/>
  <c r="AL95" i="2"/>
  <c r="AH95" i="2"/>
  <c r="AG95" i="2"/>
  <c r="AF95" i="2"/>
  <c r="AB95" i="2"/>
  <c r="AA95" i="2"/>
  <c r="Y95" i="2"/>
  <c r="X95" i="2"/>
  <c r="M95" i="2"/>
  <c r="AE95" i="2" s="1"/>
  <c r="AP94" i="2"/>
  <c r="AO94" i="2"/>
  <c r="AL94" i="2"/>
  <c r="AH94" i="2"/>
  <c r="AG94" i="2"/>
  <c r="AF94" i="2"/>
  <c r="AE94" i="2"/>
  <c r="AB94" i="2"/>
  <c r="AN94" i="2" s="1"/>
  <c r="AA94" i="2"/>
  <c r="Y94" i="2"/>
  <c r="X94" i="2"/>
  <c r="W94" i="2"/>
  <c r="AP93" i="2"/>
  <c r="AO93" i="2"/>
  <c r="AL93" i="2"/>
  <c r="AH93" i="2"/>
  <c r="AG93" i="2"/>
  <c r="AF93" i="2"/>
  <c r="AB93" i="2"/>
  <c r="AN93" i="2" s="1"/>
  <c r="AA93" i="2"/>
  <c r="Y93" i="2"/>
  <c r="X93" i="2"/>
  <c r="W93" i="2"/>
  <c r="Z93" i="2" s="1"/>
  <c r="N93" i="2"/>
  <c r="AE93" i="2" s="1"/>
  <c r="AP92" i="2"/>
  <c r="AO92" i="2"/>
  <c r="AL92" i="2"/>
  <c r="AH92" i="2"/>
  <c r="AG92" i="2"/>
  <c r="AF92" i="2"/>
  <c r="AB92" i="2"/>
  <c r="AN92" i="2" s="1"/>
  <c r="AA92" i="2"/>
  <c r="Y92" i="2"/>
  <c r="X92" i="2"/>
  <c r="N92" i="2"/>
  <c r="W92" i="2" s="1"/>
  <c r="Z92" i="2" s="1"/>
  <c r="AP90" i="2"/>
  <c r="AO90" i="2"/>
  <c r="AL90" i="2"/>
  <c r="AH90" i="2"/>
  <c r="AG90" i="2"/>
  <c r="AF90" i="2"/>
  <c r="AB90" i="2"/>
  <c r="AN90" i="2" s="1"/>
  <c r="AA90" i="2"/>
  <c r="Y90" i="2"/>
  <c r="X90" i="2"/>
  <c r="P90" i="2"/>
  <c r="AE90" i="2" s="1"/>
  <c r="N90" i="2"/>
  <c r="AP89" i="2"/>
  <c r="AO89" i="2"/>
  <c r="AL89" i="2"/>
  <c r="AH89" i="2"/>
  <c r="AG89" i="2"/>
  <c r="AF89" i="2"/>
  <c r="AE89" i="2"/>
  <c r="AB89" i="2"/>
  <c r="AN89" i="2" s="1"/>
  <c r="AQ89" i="2" s="1"/>
  <c r="AA89" i="2"/>
  <c r="W89" i="2"/>
  <c r="AP88" i="2"/>
  <c r="AO88" i="2"/>
  <c r="AL88" i="2"/>
  <c r="AH88" i="2"/>
  <c r="AG88" i="2"/>
  <c r="AF88" i="2"/>
  <c r="AE88" i="2"/>
  <c r="AB88" i="2"/>
  <c r="AN88" i="2" s="1"/>
  <c r="AA88" i="2"/>
  <c r="Y88" i="2"/>
  <c r="X88" i="2"/>
  <c r="W88" i="2"/>
  <c r="AP87" i="2"/>
  <c r="AO87" i="2"/>
  <c r="AL87" i="2"/>
  <c r="AH87" i="2"/>
  <c r="AG87" i="2"/>
  <c r="AF87" i="2"/>
  <c r="AB87" i="2"/>
  <c r="AN87" i="2" s="1"/>
  <c r="AA87" i="2"/>
  <c r="Y87" i="2"/>
  <c r="X87" i="2"/>
  <c r="P87" i="2"/>
  <c r="AE87" i="2" s="1"/>
  <c r="N87" i="2"/>
  <c r="W95" i="2" l="1"/>
  <c r="W104" i="2"/>
  <c r="W106" i="2"/>
  <c r="AQ109" i="2"/>
  <c r="Z110" i="2"/>
  <c r="AQ110" i="2"/>
  <c r="W119" i="2"/>
  <c r="AQ119" i="2"/>
  <c r="AE120" i="2"/>
  <c r="W125" i="2"/>
  <c r="AQ125" i="2"/>
  <c r="W166" i="2"/>
  <c r="Z166" i="2" s="1"/>
  <c r="Z175" i="2"/>
  <c r="Z191" i="2"/>
  <c r="AQ101" i="2"/>
  <c r="Z112" i="2"/>
  <c r="Z118" i="2"/>
  <c r="AE129" i="2"/>
  <c r="Z135" i="2"/>
  <c r="Z140" i="2"/>
  <c r="Z174" i="2"/>
  <c r="AQ174" i="2"/>
  <c r="Z203" i="2"/>
  <c r="Z204" i="2"/>
  <c r="Z207" i="2"/>
  <c r="Z100" i="2"/>
  <c r="AE128" i="2"/>
  <c r="AQ133" i="2"/>
  <c r="W137" i="2"/>
  <c r="AQ151" i="2"/>
  <c r="AE172" i="2"/>
  <c r="W90" i="2"/>
  <c r="AE92" i="2"/>
  <c r="W97" i="2"/>
  <c r="Z97" i="2" s="1"/>
  <c r="AE101" i="2"/>
  <c r="W116" i="2"/>
  <c r="Z116" i="2" s="1"/>
  <c r="AE140" i="2"/>
  <c r="AE164" i="2"/>
  <c r="W167" i="2"/>
  <c r="AE174" i="2"/>
  <c r="AP86" i="2" l="1"/>
  <c r="AN86" i="2"/>
  <c r="AQ86" i="2" s="1"/>
  <c r="AL86" i="2"/>
  <c r="AE86" i="2"/>
  <c r="Z86" i="2"/>
  <c r="Y86" i="2"/>
  <c r="W86" i="2"/>
  <c r="AP85" i="2"/>
  <c r="AN85" i="2"/>
  <c r="AQ85" i="2" s="1"/>
  <c r="AL85" i="2"/>
  <c r="AE85" i="2"/>
  <c r="Z85" i="2"/>
  <c r="Y85" i="2"/>
  <c r="W85" i="2"/>
  <c r="AP84" i="2"/>
  <c r="AN84" i="2"/>
  <c r="AQ84" i="2" s="1"/>
  <c r="AL84" i="2"/>
  <c r="AE84" i="2"/>
  <c r="Y84" i="2"/>
  <c r="W84" i="2"/>
  <c r="Z84" i="2" s="1"/>
  <c r="AP83" i="2"/>
  <c r="AN83" i="2"/>
  <c r="AQ83" i="2" s="1"/>
  <c r="AL83" i="2"/>
  <c r="AE83" i="2"/>
  <c r="Y83" i="2"/>
  <c r="W83" i="2"/>
  <c r="Z83" i="2" s="1"/>
  <c r="AP82" i="2"/>
  <c r="AN82" i="2"/>
  <c r="AQ82" i="2" s="1"/>
  <c r="AL82" i="2"/>
  <c r="AE82" i="2"/>
  <c r="Z82" i="2"/>
  <c r="Y82" i="2"/>
  <c r="W82" i="2"/>
  <c r="AP81" i="2"/>
  <c r="AN81" i="2"/>
  <c r="AQ81" i="2" s="1"/>
  <c r="AL81" i="2"/>
  <c r="AE81" i="2"/>
  <c r="Z81" i="2"/>
  <c r="Y81" i="2"/>
  <c r="W81" i="2"/>
  <c r="AP80" i="2"/>
  <c r="AN80" i="2"/>
  <c r="AQ80" i="2" s="1"/>
  <c r="AL80" i="2"/>
  <c r="AE80" i="2"/>
  <c r="Y80" i="2"/>
  <c r="W80" i="2"/>
  <c r="Z80" i="2" s="1"/>
  <c r="AP79" i="2"/>
  <c r="AN79" i="2"/>
  <c r="AQ79" i="2" s="1"/>
  <c r="AL79" i="2"/>
  <c r="AE79" i="2"/>
  <c r="Y79" i="2"/>
  <c r="W79" i="2"/>
  <c r="Z79" i="2" s="1"/>
  <c r="AP78" i="2"/>
  <c r="AN78" i="2"/>
  <c r="AQ78" i="2" s="1"/>
  <c r="AL78" i="2"/>
  <c r="AE78" i="2"/>
  <c r="Y78" i="2"/>
  <c r="W78" i="2"/>
  <c r="Z78" i="2" s="1"/>
  <c r="AP77" i="2"/>
  <c r="AN77" i="2"/>
  <c r="AQ77" i="2" s="1"/>
  <c r="AL77" i="2"/>
  <c r="AE77" i="2"/>
  <c r="Z77" i="2"/>
  <c r="Y77" i="2"/>
  <c r="W77" i="2"/>
  <c r="AP76" i="2"/>
  <c r="AN76" i="2"/>
  <c r="AQ76" i="2" s="1"/>
  <c r="AL76" i="2"/>
  <c r="AE76" i="2"/>
  <c r="Y76" i="2"/>
  <c r="W76" i="2"/>
  <c r="Z76" i="2" s="1"/>
  <c r="AP75" i="2"/>
  <c r="AN75" i="2"/>
  <c r="AQ75" i="2" s="1"/>
  <c r="AL75" i="2"/>
  <c r="AE75" i="2"/>
  <c r="Y75" i="2"/>
  <c r="W75" i="2"/>
  <c r="Z75" i="2" s="1"/>
  <c r="AP74" i="2"/>
  <c r="AN74" i="2"/>
  <c r="AQ74" i="2" s="1"/>
  <c r="AL74" i="2"/>
  <c r="AE74" i="2"/>
  <c r="Z74" i="2"/>
  <c r="Y74" i="2"/>
  <c r="W74" i="2"/>
  <c r="AP73" i="2"/>
  <c r="AN73" i="2"/>
  <c r="AQ73" i="2" s="1"/>
  <c r="AL73" i="2"/>
  <c r="AE73" i="2"/>
  <c r="Z73" i="2"/>
  <c r="Y73" i="2"/>
  <c r="W73" i="2"/>
  <c r="AP72" i="2"/>
  <c r="AN72" i="2"/>
  <c r="AQ72" i="2" s="1"/>
  <c r="AL72" i="2"/>
  <c r="AE72" i="2"/>
  <c r="Y72" i="2"/>
  <c r="W72" i="2"/>
  <c r="Z72" i="2" s="1"/>
  <c r="AP71" i="2"/>
  <c r="AN71" i="2"/>
  <c r="AQ71" i="2" s="1"/>
  <c r="AL71" i="2"/>
  <c r="AE71" i="2"/>
  <c r="Y71" i="2"/>
  <c r="W71" i="2"/>
  <c r="Z71" i="2" s="1"/>
  <c r="AP70" i="2"/>
  <c r="AN70" i="2"/>
  <c r="AQ70" i="2" s="1"/>
  <c r="AL70" i="2"/>
  <c r="AE70" i="2"/>
  <c r="Z70" i="2"/>
  <c r="Y70" i="2"/>
  <c r="W70" i="2"/>
  <c r="AP69" i="2"/>
  <c r="AN69" i="2"/>
  <c r="AQ69" i="2" s="1"/>
  <c r="AL69" i="2"/>
  <c r="AE69" i="2"/>
  <c r="Z69" i="2"/>
  <c r="Y69" i="2"/>
  <c r="W69" i="2"/>
  <c r="AP68" i="2"/>
  <c r="AN68" i="2"/>
  <c r="AQ68" i="2" s="1"/>
  <c r="AL68" i="2"/>
  <c r="AE68" i="2"/>
  <c r="Y68" i="2"/>
  <c r="W68" i="2"/>
  <c r="Z68" i="2" s="1"/>
  <c r="AP67" i="2"/>
  <c r="AN67" i="2"/>
  <c r="AQ67" i="2" s="1"/>
  <c r="AL67" i="2"/>
  <c r="AE67" i="2"/>
  <c r="Y67" i="2"/>
  <c r="W67" i="2"/>
  <c r="Z67" i="2" s="1"/>
  <c r="AP66" i="2"/>
  <c r="AN66" i="2"/>
  <c r="AQ66" i="2" s="1"/>
  <c r="AL66" i="2"/>
  <c r="AE66" i="2"/>
  <c r="Z66" i="2"/>
  <c r="Y66" i="2"/>
  <c r="W66" i="2"/>
  <c r="AP65" i="2"/>
  <c r="AN65" i="2"/>
  <c r="AQ65" i="2" s="1"/>
  <c r="AL65" i="2"/>
  <c r="AE65" i="2"/>
  <c r="Z65" i="2"/>
  <c r="Y65" i="2"/>
  <c r="W65" i="2"/>
  <c r="AP64" i="2"/>
  <c r="AN64" i="2"/>
  <c r="AQ64" i="2" s="1"/>
  <c r="AL64" i="2"/>
  <c r="AE64" i="2"/>
  <c r="Y64" i="2"/>
  <c r="W64" i="2"/>
  <c r="Z64" i="2" s="1"/>
  <c r="AP63" i="2"/>
  <c r="AN63" i="2"/>
  <c r="AL63" i="2"/>
  <c r="AE63" i="2"/>
  <c r="Y63" i="2"/>
  <c r="W63" i="2"/>
  <c r="Z63" i="2" s="1"/>
  <c r="AP62" i="2"/>
  <c r="AN62" i="2"/>
  <c r="AQ62" i="2" s="1"/>
  <c r="AL62" i="2"/>
  <c r="AE62" i="2"/>
  <c r="Y62" i="2"/>
  <c r="W62" i="2"/>
  <c r="Z62" i="2" s="1"/>
  <c r="AP61" i="2"/>
  <c r="AN61" i="2"/>
  <c r="AQ61" i="2" s="1"/>
  <c r="AL61" i="2"/>
  <c r="AE61" i="2"/>
  <c r="Y61" i="2"/>
  <c r="W61" i="2"/>
  <c r="Z61" i="2" s="1"/>
  <c r="AP60" i="2"/>
  <c r="AN60" i="2"/>
  <c r="AQ60" i="2" s="1"/>
  <c r="AL60" i="2"/>
  <c r="AE60" i="2"/>
  <c r="Y60" i="2"/>
  <c r="W60" i="2"/>
  <c r="Z60" i="2" s="1"/>
  <c r="AP59" i="2"/>
  <c r="AN59" i="2"/>
  <c r="AQ59" i="2" s="1"/>
  <c r="AL59" i="2"/>
  <c r="AE59" i="2"/>
  <c r="Y59" i="2"/>
  <c r="W59" i="2"/>
  <c r="Z59" i="2" s="1"/>
  <c r="AP58" i="2"/>
  <c r="AL58" i="2"/>
  <c r="Y58" i="2"/>
  <c r="M58" i="2"/>
  <c r="W58" i="2" s="1"/>
  <c r="Z58" i="2" s="1"/>
  <c r="AP57" i="2"/>
  <c r="AN57" i="2"/>
  <c r="AQ57" i="2" s="1"/>
  <c r="AL57" i="2"/>
  <c r="AE57" i="2"/>
  <c r="Z57" i="2"/>
  <c r="Y57" i="2"/>
  <c r="W57" i="2"/>
  <c r="AP56" i="2"/>
  <c r="AN56" i="2"/>
  <c r="AQ56" i="2" s="1"/>
  <c r="AL56" i="2"/>
  <c r="AE56" i="2"/>
  <c r="Z56" i="2"/>
  <c r="Y56" i="2"/>
  <c r="W56" i="2"/>
  <c r="AP55" i="2"/>
  <c r="AN55" i="2"/>
  <c r="AQ55" i="2" s="1"/>
  <c r="AL55" i="2"/>
  <c r="AE55" i="2"/>
  <c r="Y55" i="2"/>
  <c r="W55" i="2"/>
  <c r="Z55" i="2" s="1"/>
  <c r="AP54" i="2"/>
  <c r="AN54" i="2"/>
  <c r="AQ54" i="2" s="1"/>
  <c r="AL54" i="2"/>
  <c r="AE54" i="2"/>
  <c r="Y54" i="2"/>
  <c r="W54" i="2"/>
  <c r="Z54" i="2" s="1"/>
  <c r="AQ53" i="2"/>
  <c r="AP53" i="2"/>
  <c r="AL53" i="2"/>
  <c r="AE53" i="2"/>
  <c r="Y53" i="2"/>
  <c r="W53" i="2"/>
  <c r="Z53" i="2" s="1"/>
  <c r="AP52" i="2"/>
  <c r="AN52" i="2"/>
  <c r="AQ52" i="2" s="1"/>
  <c r="AL52" i="2"/>
  <c r="AE52" i="2"/>
  <c r="Y52" i="2"/>
  <c r="W52" i="2"/>
  <c r="Z52" i="2" s="1"/>
  <c r="AP51" i="2"/>
  <c r="AN51" i="2"/>
  <c r="AQ51" i="2" s="1"/>
  <c r="AL51" i="2"/>
  <c r="AE51" i="2"/>
  <c r="Y51" i="2"/>
  <c r="W51" i="2"/>
  <c r="Z51" i="2" s="1"/>
  <c r="AP50" i="2"/>
  <c r="AN50" i="2"/>
  <c r="AQ50" i="2" s="1"/>
  <c r="AL50" i="2"/>
  <c r="AE50" i="2"/>
  <c r="Y50" i="2"/>
  <c r="W50" i="2"/>
  <c r="Z50" i="2" s="1"/>
  <c r="AP49" i="2"/>
  <c r="AN49" i="2"/>
  <c r="AQ49" i="2" s="1"/>
  <c r="AL49" i="2"/>
  <c r="AE49" i="2"/>
  <c r="Y49" i="2"/>
  <c r="W49" i="2"/>
  <c r="Z49" i="2" s="1"/>
  <c r="AP48" i="2"/>
  <c r="AN48" i="2"/>
  <c r="AQ48" i="2" s="1"/>
  <c r="AL48" i="2"/>
  <c r="AE48" i="2"/>
  <c r="Y48" i="2"/>
  <c r="W48" i="2"/>
  <c r="Z48" i="2" s="1"/>
  <c r="AP47" i="2"/>
  <c r="AN47" i="2"/>
  <c r="AQ47" i="2" s="1"/>
  <c r="AL47" i="2"/>
  <c r="AE47" i="2"/>
  <c r="Y47" i="2"/>
  <c r="W47" i="2"/>
  <c r="Z47" i="2" s="1"/>
  <c r="AP46" i="2"/>
  <c r="AN46" i="2"/>
  <c r="AQ46" i="2" s="1"/>
  <c r="AL46" i="2"/>
  <c r="AE46" i="2"/>
  <c r="Y46" i="2"/>
  <c r="W46" i="2"/>
  <c r="Z46" i="2" s="1"/>
  <c r="AP45" i="2"/>
  <c r="AN45" i="2"/>
  <c r="AQ45" i="2" s="1"/>
  <c r="AL45" i="2"/>
  <c r="AE45" i="2"/>
  <c r="Y45" i="2"/>
  <c r="W45" i="2"/>
  <c r="Z45" i="2" s="1"/>
  <c r="AP44" i="2"/>
  <c r="AN44" i="2"/>
  <c r="AQ44" i="2" s="1"/>
  <c r="AL44" i="2"/>
  <c r="AE44" i="2"/>
  <c r="Y44" i="2"/>
  <c r="W44" i="2"/>
  <c r="Z44" i="2" s="1"/>
  <c r="AP43" i="2"/>
  <c r="AN43" i="2"/>
  <c r="AQ43" i="2" s="1"/>
  <c r="AL43" i="2"/>
  <c r="AE43" i="2"/>
  <c r="Y43" i="2"/>
  <c r="W43" i="2"/>
  <c r="Z43" i="2" s="1"/>
  <c r="AP42" i="2"/>
  <c r="AN42" i="2"/>
  <c r="AQ42" i="2" s="1"/>
  <c r="AL42" i="2"/>
  <c r="AE42" i="2"/>
  <c r="Y42" i="2"/>
  <c r="W42" i="2"/>
  <c r="Z42" i="2" s="1"/>
  <c r="AP41" i="2"/>
  <c r="AN41" i="2"/>
  <c r="AQ41" i="2" s="1"/>
  <c r="AL41" i="2"/>
  <c r="AE41" i="2"/>
  <c r="Y41" i="2"/>
  <c r="W41" i="2"/>
  <c r="Z41" i="2" s="1"/>
  <c r="AQ40" i="2"/>
  <c r="AP40" i="2"/>
  <c r="AL40" i="2"/>
  <c r="AE40" i="2"/>
  <c r="Y40" i="2"/>
  <c r="W40" i="2"/>
  <c r="Z40" i="2" s="1"/>
  <c r="AP39" i="2"/>
  <c r="AN39" i="2"/>
  <c r="AQ39" i="2" s="1"/>
  <c r="AL39" i="2"/>
  <c r="AE39" i="2"/>
  <c r="Y39" i="2"/>
  <c r="W39" i="2"/>
  <c r="Z39" i="2" s="1"/>
  <c r="AP38" i="2"/>
  <c r="AL38" i="2"/>
  <c r="Y38" i="2"/>
  <c r="W38" i="2"/>
  <c r="Z38" i="2" s="1"/>
  <c r="M38" i="2"/>
  <c r="AN38" i="2" s="1"/>
  <c r="AQ38" i="2" s="1"/>
  <c r="AP37" i="2"/>
  <c r="AN37" i="2"/>
  <c r="AQ37" i="2" s="1"/>
  <c r="AL37" i="2"/>
  <c r="AE37" i="2"/>
  <c r="Y37" i="2"/>
  <c r="W37" i="2"/>
  <c r="Z37" i="2" s="1"/>
  <c r="AQ36" i="2"/>
  <c r="AP36" i="2"/>
  <c r="AL36" i="2"/>
  <c r="AE36" i="2"/>
  <c r="Y36" i="2"/>
  <c r="W36" i="2"/>
  <c r="Z36" i="2" s="1"/>
  <c r="AP35" i="2"/>
  <c r="AN35" i="2"/>
  <c r="AQ35" i="2" s="1"/>
  <c r="AL35" i="2"/>
  <c r="AE35" i="2"/>
  <c r="Y35" i="2"/>
  <c r="W35" i="2"/>
  <c r="Z35" i="2" s="1"/>
  <c r="AP34" i="2"/>
  <c r="AN34" i="2"/>
  <c r="AQ34" i="2" s="1"/>
  <c r="AL34" i="2"/>
  <c r="AE34" i="2"/>
  <c r="Y34" i="2"/>
  <c r="W34" i="2"/>
  <c r="Z34" i="2" s="1"/>
  <c r="AP33" i="2"/>
  <c r="AN33" i="2"/>
  <c r="AQ33" i="2" s="1"/>
  <c r="AL33" i="2"/>
  <c r="AE33" i="2"/>
  <c r="Y33" i="2"/>
  <c r="W33" i="2"/>
  <c r="Z33" i="2" s="1"/>
  <c r="AP32" i="2"/>
  <c r="AN32" i="2"/>
  <c r="AQ32" i="2" s="1"/>
  <c r="AL32" i="2"/>
  <c r="AE32" i="2"/>
  <c r="Y32" i="2"/>
  <c r="W32" i="2"/>
  <c r="Z32" i="2" s="1"/>
  <c r="AP31" i="2"/>
  <c r="AN31" i="2"/>
  <c r="AQ31" i="2" s="1"/>
  <c r="AL31" i="2"/>
  <c r="AE31" i="2"/>
  <c r="Y31" i="2"/>
  <c r="W31" i="2"/>
  <c r="Z31" i="2" s="1"/>
  <c r="AQ30" i="2"/>
  <c r="AP30" i="2"/>
  <c r="AL30" i="2"/>
  <c r="AE30" i="2"/>
  <c r="Y30" i="2"/>
  <c r="W30" i="2"/>
  <c r="Z30" i="2" s="1"/>
  <c r="AQ29" i="2"/>
  <c r="AP29" i="2"/>
  <c r="AN29" i="2"/>
  <c r="AL29" i="2"/>
  <c r="AE29" i="2"/>
  <c r="Y29" i="2"/>
  <c r="W29" i="2"/>
  <c r="Z29" i="2" s="1"/>
  <c r="AP28" i="2"/>
  <c r="AN28" i="2"/>
  <c r="AQ28" i="2" s="1"/>
  <c r="AL28" i="2"/>
  <c r="AE28" i="2"/>
  <c r="Y28" i="2"/>
  <c r="W28" i="2"/>
  <c r="Z28" i="2" s="1"/>
  <c r="AP27" i="2"/>
  <c r="AN27" i="2"/>
  <c r="AQ27" i="2" s="1"/>
  <c r="AL27" i="2"/>
  <c r="AE27" i="2"/>
  <c r="Y27" i="2"/>
  <c r="W27" i="2"/>
  <c r="Z27" i="2" s="1"/>
  <c r="AQ26" i="2"/>
  <c r="AP26" i="2"/>
  <c r="AN26" i="2"/>
  <c r="AL26" i="2"/>
  <c r="AE26" i="2"/>
  <c r="Y26" i="2"/>
  <c r="W26" i="2"/>
  <c r="Z26" i="2" s="1"/>
  <c r="AL25" i="2"/>
  <c r="AE25" i="2"/>
  <c r="Y25" i="2"/>
  <c r="W25" i="2"/>
  <c r="Z25" i="2" s="1"/>
  <c r="AP24" i="2"/>
  <c r="AN24" i="2"/>
  <c r="AQ24" i="2" s="1"/>
  <c r="AL24" i="2"/>
  <c r="AE24" i="2"/>
  <c r="Y24" i="2"/>
  <c r="W24" i="2"/>
  <c r="Z24" i="2" s="1"/>
  <c r="AP23" i="2"/>
  <c r="AN23" i="2"/>
  <c r="AQ23" i="2" s="1"/>
  <c r="AL23" i="2"/>
  <c r="AE23" i="2"/>
  <c r="Y23" i="2"/>
  <c r="W23" i="2"/>
  <c r="Z23" i="2" s="1"/>
  <c r="AP22" i="2"/>
  <c r="AN22" i="2"/>
  <c r="AQ22" i="2" s="1"/>
  <c r="AL22" i="2"/>
  <c r="AE22" i="2"/>
  <c r="Y22" i="2"/>
  <c r="W22" i="2"/>
  <c r="Z22" i="2" s="1"/>
  <c r="AP21" i="2"/>
  <c r="AN21" i="2"/>
  <c r="AQ21" i="2" s="1"/>
  <c r="AL21" i="2"/>
  <c r="AE21" i="2"/>
  <c r="Y21" i="2"/>
  <c r="W21" i="2"/>
  <c r="Z21" i="2" s="1"/>
  <c r="AQ20" i="2"/>
  <c r="AP20" i="2"/>
  <c r="AN20" i="2"/>
  <c r="AL20" i="2"/>
  <c r="AE20" i="2"/>
  <c r="Y20" i="2"/>
  <c r="W20" i="2"/>
  <c r="Z20" i="2" s="1"/>
  <c r="AQ19" i="2"/>
  <c r="AP19" i="2"/>
  <c r="AN19" i="2"/>
  <c r="AL19" i="2"/>
  <c r="AE19" i="2"/>
  <c r="Y19" i="2"/>
  <c r="W19" i="2"/>
  <c r="Z19" i="2" s="1"/>
  <c r="AP18" i="2"/>
  <c r="AN18" i="2"/>
  <c r="AQ18" i="2" s="1"/>
  <c r="AL18" i="2"/>
  <c r="AE18" i="2"/>
  <c r="Y18" i="2"/>
  <c r="W18" i="2"/>
  <c r="Z18" i="2" s="1"/>
  <c r="AP17" i="2"/>
  <c r="AN17" i="2"/>
  <c r="AL17" i="2"/>
  <c r="AE17" i="2"/>
  <c r="Y17" i="2"/>
  <c r="W17" i="2"/>
  <c r="Z17" i="2" s="1"/>
  <c r="AQ16" i="2"/>
  <c r="AP16" i="2"/>
  <c r="AN16" i="2"/>
  <c r="AL16" i="2"/>
  <c r="AE16" i="2"/>
  <c r="Y16" i="2"/>
  <c r="W16" i="2"/>
  <c r="Z16" i="2" s="1"/>
  <c r="AP15" i="2"/>
  <c r="AN15" i="2"/>
  <c r="AQ15" i="2" s="1"/>
  <c r="AL15" i="2"/>
  <c r="AE15" i="2"/>
  <c r="Y15" i="2"/>
  <c r="W15" i="2"/>
  <c r="Z15" i="2" s="1"/>
  <c r="AP14" i="2"/>
  <c r="AN14" i="2"/>
  <c r="AQ14" i="2" s="1"/>
  <c r="AL14" i="2"/>
  <c r="AE14" i="2"/>
  <c r="Y14" i="2"/>
  <c r="W14" i="2"/>
  <c r="Z14" i="2" s="1"/>
  <c r="AP13" i="2"/>
  <c r="AN13" i="2"/>
  <c r="AQ13" i="2" s="1"/>
  <c r="AL13" i="2"/>
  <c r="AE13" i="2"/>
  <c r="Y13" i="2"/>
  <c r="W13" i="2"/>
  <c r="Z13" i="2" s="1"/>
  <c r="AQ12" i="2"/>
  <c r="AP12" i="2"/>
  <c r="AL12" i="2"/>
  <c r="AE12" i="2"/>
  <c r="Y12" i="2"/>
  <c r="W12" i="2"/>
  <c r="Z12" i="2" s="1"/>
  <c r="AP11" i="2"/>
  <c r="AN11" i="2"/>
  <c r="AQ11" i="2" s="1"/>
  <c r="AL11" i="2"/>
  <c r="AE11" i="2"/>
  <c r="Z11" i="2"/>
  <c r="Y11" i="2"/>
  <c r="W11" i="2"/>
  <c r="AP10" i="2"/>
  <c r="AN10" i="2"/>
  <c r="AQ10" i="2" s="1"/>
  <c r="AL10" i="2"/>
  <c r="AE10" i="2"/>
  <c r="Z10" i="2"/>
  <c r="Y10" i="2"/>
  <c r="W10" i="2"/>
  <c r="AP9" i="2"/>
  <c r="AN9" i="2"/>
  <c r="AQ9" i="2" s="1"/>
  <c r="AL9" i="2"/>
  <c r="AE9" i="2"/>
  <c r="Y9" i="2"/>
  <c r="W9" i="2"/>
  <c r="Z9" i="2" s="1"/>
  <c r="AP8" i="2"/>
  <c r="AN8" i="2"/>
  <c r="AQ8" i="2" s="1"/>
  <c r="AE8" i="2"/>
  <c r="Y8" i="2"/>
  <c r="W8" i="2"/>
  <c r="Z8" i="2" s="1"/>
  <c r="AP7" i="2"/>
  <c r="AN7" i="2"/>
  <c r="AQ7" i="2" s="1"/>
  <c r="AE7" i="2"/>
  <c r="Y7" i="2"/>
  <c r="W7" i="2"/>
  <c r="Z7" i="2" s="1"/>
  <c r="AQ6" i="2"/>
  <c r="AP6" i="2"/>
  <c r="AN6" i="2"/>
  <c r="AL6" i="2"/>
  <c r="AE6" i="2"/>
  <c r="Y6" i="2"/>
  <c r="W6" i="2"/>
  <c r="Z6" i="2" s="1"/>
  <c r="AP5" i="2"/>
  <c r="AN5" i="2"/>
  <c r="AQ5" i="2" s="1"/>
  <c r="AE5" i="2"/>
  <c r="Y5" i="2"/>
  <c r="W5" i="2"/>
  <c r="Z5" i="2" s="1"/>
  <c r="AP4" i="2"/>
  <c r="AN4" i="2"/>
  <c r="AQ4" i="2" s="1"/>
  <c r="AE4" i="2"/>
  <c r="Y4" i="2"/>
  <c r="W4" i="2"/>
  <c r="Z4" i="2" s="1"/>
  <c r="AP3" i="2"/>
  <c r="AN3" i="2"/>
  <c r="AQ3" i="2" s="1"/>
  <c r="AL3" i="2"/>
  <c r="AE3" i="2"/>
  <c r="Z3" i="2"/>
  <c r="Y3" i="2"/>
  <c r="W3" i="2"/>
  <c r="AP2" i="2"/>
  <c r="AN2" i="2"/>
  <c r="AQ2" i="2" s="1"/>
  <c r="AL2" i="2"/>
  <c r="AE2" i="2"/>
  <c r="Z2" i="2"/>
  <c r="Y2" i="2"/>
  <c r="W2" i="2"/>
  <c r="AN58" i="2" l="1"/>
  <c r="AQ58" i="2" s="1"/>
  <c r="AE58" i="2"/>
  <c r="AE38" i="2"/>
</calcChain>
</file>

<file path=xl/comments1.xml><?xml version="1.0" encoding="utf-8"?>
<comments xmlns="http://schemas.openxmlformats.org/spreadsheetml/2006/main">
  <authors>
    <author>成七一</author>
  </authors>
  <commentList>
    <comment ref="N4" authorId="0" shapeId="0">
      <text>
        <r>
          <rPr>
            <b/>
            <sz val="9"/>
            <color indexed="81"/>
            <rFont val="宋体"/>
            <family val="3"/>
            <charset val="134"/>
          </rPr>
          <t>成七一:</t>
        </r>
        <r>
          <rPr>
            <sz val="9"/>
            <color indexed="81"/>
            <rFont val="宋体"/>
            <family val="3"/>
            <charset val="134"/>
          </rPr>
          <t xml:space="preserve">
管理费率，税率和回收率，如果已经结算，分母是结算额，还是合同额+调增额？</t>
        </r>
      </text>
    </comment>
    <comment ref="AH154" authorId="0" shapeId="0">
      <text>
        <r>
          <rPr>
            <b/>
            <sz val="9"/>
            <color indexed="81"/>
            <rFont val="宋体"/>
            <family val="3"/>
            <charset val="134"/>
          </rPr>
          <t>成七一:</t>
        </r>
        <r>
          <rPr>
            <sz val="9"/>
            <color indexed="81"/>
            <rFont val="宋体"/>
            <family val="3"/>
            <charset val="134"/>
          </rPr>
          <t xml:space="preserve">
因为型材点为空</t>
        </r>
      </text>
    </comment>
  </commentList>
</comments>
</file>

<file path=xl/sharedStrings.xml><?xml version="1.0" encoding="utf-8"?>
<sst xmlns="http://schemas.openxmlformats.org/spreadsheetml/2006/main" count="7331" uniqueCount="2328">
  <si>
    <t>id</t>
  </si>
  <si>
    <t>serialId</t>
  </si>
  <si>
    <t>trice</t>
  </si>
  <si>
    <t>description</t>
  </si>
  <si>
    <t>projectId</t>
  </si>
  <si>
    <t>organizationId</t>
  </si>
  <si>
    <t>projectCode</t>
  </si>
  <si>
    <t>projectName</t>
  </si>
  <si>
    <t>contractAmount</t>
  </si>
  <si>
    <t>changeAmount</t>
  </si>
  <si>
    <t>changeTotalAmount</t>
  </si>
  <si>
    <t>settlementAmount</t>
  </si>
  <si>
    <t>managementRate</t>
  </si>
  <si>
    <t>managementPlanAmount</t>
  </si>
  <si>
    <t>managementRealAmount</t>
  </si>
  <si>
    <t>managementTotalAmount</t>
  </si>
  <si>
    <t>managementOweAmount</t>
  </si>
  <si>
    <t>partyBillingAmount</t>
  </si>
  <si>
    <t>partyBillingTotalAmount</t>
  </si>
  <si>
    <t>collectionsAmount</t>
  </si>
  <si>
    <t>collectionsTotalAmount</t>
  </si>
  <si>
    <t>collectionsRate</t>
  </si>
  <si>
    <t>customerBillingAmount</t>
  </si>
  <si>
    <t>customerBillingTotalAmount</t>
  </si>
  <si>
    <t>paymentAmount</t>
  </si>
  <si>
    <t>paymentTotalAmount</t>
  </si>
  <si>
    <t>taxRate</t>
  </si>
  <si>
    <t>taxPlanAmount</t>
  </si>
  <si>
    <t>taxRealAmount</t>
  </si>
  <si>
    <t>taxTotalAmount</t>
  </si>
  <si>
    <t>taxOweAmount</t>
  </si>
  <si>
    <t>arrearsAmount</t>
  </si>
  <si>
    <t>expectedValue</t>
  </si>
  <si>
    <t>profilePoint</t>
  </si>
  <si>
    <t>version</t>
  </si>
  <si>
    <t>createTime</t>
  </si>
  <si>
    <t>tableName</t>
  </si>
  <si>
    <t/>
  </si>
  <si>
    <t>0ed44f90-0c3a-11e4-9300-001c42328937</t>
  </si>
  <si>
    <t>XMF08-02</t>
  </si>
  <si>
    <t>中国国际贸易中心三期</t>
  </si>
  <si>
    <t>0ed38235-0c3a-11e4-9300-001c42328937</t>
  </si>
  <si>
    <t>SY2009-03</t>
  </si>
  <si>
    <t>四方景园工程</t>
  </si>
  <si>
    <t>SY2010-01</t>
  </si>
  <si>
    <t>中直机关</t>
  </si>
  <si>
    <t>SY2010-02</t>
  </si>
  <si>
    <t>大万综合楼</t>
  </si>
  <si>
    <t>SY2010-03</t>
  </si>
  <si>
    <t>北京嘉泽生态园</t>
  </si>
  <si>
    <t>XMF10-11</t>
  </si>
  <si>
    <t>商品房A01楼等6项、商品房A04楼等5项</t>
  </si>
  <si>
    <t>亦庄</t>
  </si>
  <si>
    <t>XMF10-51</t>
  </si>
  <si>
    <t>中国传媒大学图书馆工程</t>
  </si>
  <si>
    <t>XMF10-40</t>
  </si>
  <si>
    <t>幸福三村</t>
  </si>
  <si>
    <t>SY2011-01</t>
  </si>
  <si>
    <t>北京汽车城</t>
  </si>
  <si>
    <t>SY2011-05</t>
  </si>
  <si>
    <t>顺义汽车城</t>
  </si>
  <si>
    <t>SY2011-07</t>
  </si>
  <si>
    <t>顺义汽车城（幕墙工程）</t>
  </si>
  <si>
    <t>SY2011-07增</t>
  </si>
  <si>
    <t>XMF11-48</t>
  </si>
  <si>
    <t>生物技术研发中心二期</t>
  </si>
  <si>
    <t>管庄</t>
  </si>
  <si>
    <t>XMF12-03</t>
  </si>
  <si>
    <t>空军9011工程空地勤综合楼</t>
  </si>
  <si>
    <t>正和平</t>
  </si>
  <si>
    <t>XMF12-02</t>
  </si>
  <si>
    <t>门头沟新城冯村（一期）居住项目A西区</t>
  </si>
  <si>
    <t>XMF12-01</t>
  </si>
  <si>
    <t>北京邮件综合处理中心</t>
  </si>
  <si>
    <t>XMF12-04</t>
  </si>
  <si>
    <t>春晖园1#综合楼一段等4项工程</t>
  </si>
  <si>
    <t>SY2012-01</t>
  </si>
  <si>
    <t>鸿嘉会所</t>
  </si>
  <si>
    <t>XMF12-05</t>
  </si>
  <si>
    <t>北京绿地密云国际花都项目</t>
  </si>
  <si>
    <t>管庄、昌平</t>
  </si>
  <si>
    <t>XMF12-09</t>
  </si>
  <si>
    <t>六郎庄拆迁安置房二标段</t>
  </si>
  <si>
    <t>SY2012-02</t>
  </si>
  <si>
    <t>鸿嘉商务楼</t>
  </si>
  <si>
    <t>XMF12-07</t>
  </si>
  <si>
    <t>中国原子能科学研究院3号楼</t>
  </si>
  <si>
    <t>XMF12-08</t>
  </si>
  <si>
    <t>六郎庄拆迁安置房一标段</t>
  </si>
  <si>
    <t>XMF12-11</t>
  </si>
  <si>
    <t>京西宾馆东楼群房改建工程</t>
  </si>
  <si>
    <t>SY2012-03</t>
  </si>
  <si>
    <t>融科智地</t>
  </si>
  <si>
    <t>XMF12-13</t>
  </si>
  <si>
    <t>环能院实验楼幕墙工程</t>
  </si>
  <si>
    <t>XMF12-14</t>
  </si>
  <si>
    <t>印刷大楼改造工程</t>
  </si>
  <si>
    <t>三河</t>
  </si>
  <si>
    <t>XMF12-15</t>
  </si>
  <si>
    <t>大兴黄村地铁枣园路站居住项目</t>
  </si>
  <si>
    <t>大兴</t>
  </si>
  <si>
    <t>XMF12-16</t>
  </si>
  <si>
    <t>宇泰佳苑住宅楼</t>
  </si>
  <si>
    <t>郭大龙</t>
  </si>
  <si>
    <t>XMF12-12</t>
  </si>
  <si>
    <t>爱博精电生产楼等2项工程</t>
  </si>
  <si>
    <t>SY2012-04</t>
  </si>
  <si>
    <t>江西908综合楼</t>
  </si>
  <si>
    <t>XMF12-18</t>
  </si>
  <si>
    <t>密云县穆家岭镇华润希望小镇展示</t>
  </si>
  <si>
    <t>XMF12-17</t>
  </si>
  <si>
    <t>大兴黄村新城北区16号项目</t>
  </si>
  <si>
    <t>XMF12-23</t>
  </si>
  <si>
    <t>现代农业生物研发平台工程</t>
  </si>
  <si>
    <t>XMF12-21</t>
  </si>
  <si>
    <t>天津红星国际广场2#地酒店式公寓</t>
  </si>
  <si>
    <t>XMF12-19</t>
  </si>
  <si>
    <t>京昌高科技信息产业园2#厂房</t>
  </si>
  <si>
    <t>XMF12-20</t>
  </si>
  <si>
    <t>总参气象水文局经济适用住房工程</t>
  </si>
  <si>
    <t>XMF12-22</t>
  </si>
  <si>
    <t>老城厢12号地块</t>
  </si>
  <si>
    <t>SY2012-06</t>
  </si>
  <si>
    <t>兴城莲花酒店</t>
  </si>
  <si>
    <t>XMF12-24</t>
  </si>
  <si>
    <t>厂房一等4项铝合金门窗工程</t>
  </si>
  <si>
    <t>XMF12-29</t>
  </si>
  <si>
    <t>SY2012-07</t>
  </si>
  <si>
    <t>兴城公安局</t>
  </si>
  <si>
    <t>XMF12-27</t>
  </si>
  <si>
    <t>中国劳动关系学院教学楼修缮工程</t>
  </si>
  <si>
    <t>XMF12-30</t>
  </si>
  <si>
    <t>天津国际城诗景颂苑二标段12#-16#</t>
  </si>
  <si>
    <t>XMF12-26</t>
  </si>
  <si>
    <t>爱迪学校报告厅</t>
  </si>
  <si>
    <t>XMF12-31</t>
  </si>
  <si>
    <t>2011工程</t>
  </si>
  <si>
    <t>XMF12-32</t>
  </si>
  <si>
    <t>宝鼎商场</t>
  </si>
  <si>
    <t>XMF12-33</t>
  </si>
  <si>
    <t>朝阳区东坝驹子房农民安置房</t>
  </si>
  <si>
    <t>XMF12-28</t>
  </si>
  <si>
    <t>密云县穆家岭镇华润希望小镇乡村酒店</t>
  </si>
  <si>
    <t>SY2012-08</t>
  </si>
  <si>
    <t>唐山君熙</t>
  </si>
  <si>
    <t>XMF12-34</t>
  </si>
  <si>
    <t>小屯新村B03、B06回迁楼及B04配套</t>
  </si>
  <si>
    <t>XMF12-35</t>
  </si>
  <si>
    <t>衙门口居住及公建项目</t>
  </si>
  <si>
    <t>XMF12-36</t>
  </si>
  <si>
    <t>西北旺六里屯农民定置点定向房</t>
  </si>
  <si>
    <t>SY2012-09</t>
  </si>
  <si>
    <t>呼市中海御龙湾</t>
  </si>
  <si>
    <t>XMF12-46</t>
  </si>
  <si>
    <t>空军装备研究院防控所</t>
  </si>
  <si>
    <t>XMF12-47</t>
  </si>
  <si>
    <t>D型公寓D4一单元铝合金窗</t>
  </si>
  <si>
    <t>XMF12-51</t>
  </si>
  <si>
    <t>总政318信息化业务楼</t>
  </si>
  <si>
    <t>昌平</t>
  </si>
  <si>
    <t>SY2012-10</t>
  </si>
  <si>
    <t>北京军区装备部</t>
  </si>
  <si>
    <t>SY2012-10增1</t>
  </si>
  <si>
    <t>SY2012-11</t>
  </si>
  <si>
    <t>大兴教委会</t>
  </si>
  <si>
    <t>XMF12-60</t>
  </si>
  <si>
    <t>岳各庄居住东区1#地128公建</t>
  </si>
  <si>
    <t>SY2012-13</t>
  </si>
  <si>
    <t>西城区扩建办公楼</t>
  </si>
  <si>
    <t>SY2012-12</t>
  </si>
  <si>
    <t>西藏自然博物馆</t>
  </si>
  <si>
    <t>SY2012-14</t>
  </si>
  <si>
    <t>平阳景苑</t>
  </si>
  <si>
    <t>SY2012-15</t>
  </si>
  <si>
    <t>丹东万达</t>
  </si>
  <si>
    <t>SY2012-12增1</t>
  </si>
  <si>
    <t>SY2013-01</t>
  </si>
  <si>
    <t>阜外心血管玻璃幕墙</t>
  </si>
  <si>
    <t>XMF13-01</t>
  </si>
  <si>
    <t>北池子大街35号院翻改建</t>
  </si>
  <si>
    <t>XMF13-05</t>
  </si>
  <si>
    <t>平谷金海湖小镇定向安置房</t>
  </si>
  <si>
    <t>XMF13-07</t>
  </si>
  <si>
    <t>国隆府综合楼玻璃幕墙工程</t>
  </si>
  <si>
    <t>XMF13-04</t>
  </si>
  <si>
    <t>61886部队食堂及文体活动用房</t>
  </si>
  <si>
    <t>XMF13-08</t>
  </si>
  <si>
    <t>4#生物研发楼等三项</t>
  </si>
  <si>
    <t>XMF13-06</t>
  </si>
  <si>
    <t>广安门铁路住宅小区工程</t>
  </si>
  <si>
    <t>XMF13-09</t>
  </si>
  <si>
    <t>广安门铁路住宅小区B段</t>
  </si>
  <si>
    <t>XMF13-10</t>
  </si>
  <si>
    <t>广安门铁路住宅小区A段</t>
  </si>
  <si>
    <t>SY2013-02</t>
  </si>
  <si>
    <t>唐山君熙太和石材幕墙</t>
  </si>
  <si>
    <t>XMF13-11</t>
  </si>
  <si>
    <t>来广营B2地块项目</t>
  </si>
  <si>
    <t>XMF13-12</t>
  </si>
  <si>
    <t>新华联雅园一期工程</t>
  </si>
  <si>
    <t>SY2013-03</t>
  </si>
  <si>
    <t>神农架机场航站楼</t>
  </si>
  <si>
    <t>XMF13-14</t>
  </si>
  <si>
    <t>京昌高科技信息产业园3#厂房</t>
  </si>
  <si>
    <t>XMF13-15</t>
  </si>
  <si>
    <t>61599部队清河经济适用住房工程</t>
  </si>
  <si>
    <t>XMF13-13</t>
  </si>
  <si>
    <t>北京国际文化贸易企业集散中心</t>
  </si>
  <si>
    <t>XMF13-17</t>
  </si>
  <si>
    <t>朝阳区东坝驹子房农民安置房F区</t>
  </si>
  <si>
    <t>SY2013-04</t>
  </si>
  <si>
    <t>渤海船舶职业学院</t>
  </si>
  <si>
    <t>XMF13-18</t>
  </si>
  <si>
    <t>华北运转中心项目仓储物流及附属设施</t>
  </si>
  <si>
    <t>XMF13-16</t>
  </si>
  <si>
    <t>解放军总医院研究大楼改造</t>
  </si>
  <si>
    <t>SY2013-05增1</t>
  </si>
  <si>
    <t>南昌物流中心B02厂房外墙</t>
  </si>
  <si>
    <t>XMF13-20</t>
  </si>
  <si>
    <t>厦门高崎国际机场T4航站楼</t>
  </si>
  <si>
    <t>XMF13-21</t>
  </si>
  <si>
    <t>西郊机场西区10#住宅楼工程</t>
  </si>
  <si>
    <t>京顺</t>
  </si>
  <si>
    <t>SY2013-05</t>
  </si>
  <si>
    <t>B1-01、B1-02厂房外墙</t>
  </si>
  <si>
    <t>XMF13-19</t>
  </si>
  <si>
    <t>西郊机场西区12#住宅楼工程</t>
  </si>
  <si>
    <t>XMF13-22</t>
  </si>
  <si>
    <t>红星国际广场3#地地块</t>
  </si>
  <si>
    <t>XMF13-23</t>
  </si>
  <si>
    <t>衙门口居住公建A1地块</t>
  </si>
  <si>
    <t>SY2013-06</t>
  </si>
  <si>
    <t>漯河驻京办事处</t>
  </si>
  <si>
    <t>XMF13-24</t>
  </si>
  <si>
    <t>朝阳区十八里店周庄三期</t>
  </si>
  <si>
    <t>XMF13-25</t>
  </si>
  <si>
    <t>北京市平谷检察院办案和专业技术房</t>
  </si>
  <si>
    <t>XMF13-26</t>
  </si>
  <si>
    <t>铁科院永丰基地扩建项目</t>
  </si>
  <si>
    <t>XMF13-27</t>
  </si>
  <si>
    <t>国贸世纪公寓样板间外墙工程</t>
  </si>
  <si>
    <t>SY2013-07</t>
  </si>
  <si>
    <t>呼市宇生苑售楼中心</t>
  </si>
  <si>
    <t>XMF13-28</t>
  </si>
  <si>
    <t>利生大厦综合办公楼项目外立面</t>
  </si>
  <si>
    <t>XMF13-29</t>
  </si>
  <si>
    <t>航天长征睿特科技天津生产基地</t>
  </si>
  <si>
    <t>XMF13-30</t>
  </si>
  <si>
    <t>96819部队工程</t>
  </si>
  <si>
    <t>XMF13-31</t>
  </si>
  <si>
    <t>中国国际贸易中心二座幕墙工程</t>
  </si>
  <si>
    <t>XMF13-32</t>
  </si>
  <si>
    <t>密云县穆家岭希望一期3#地</t>
  </si>
  <si>
    <t>XMF13-33</t>
  </si>
  <si>
    <t>大兴北臧村镇居住及配套项目</t>
  </si>
  <si>
    <t>SY2013-08</t>
  </si>
  <si>
    <t>办公综合楼（冠京先河）</t>
  </si>
  <si>
    <t>XMF13-35</t>
  </si>
  <si>
    <t>红星国际广场3#地A1楼铝合金门窗</t>
  </si>
  <si>
    <t>XMF13-34</t>
  </si>
  <si>
    <t>天津东疆港瞰海轩工程</t>
  </si>
  <si>
    <t>XMF13-36</t>
  </si>
  <si>
    <t>温泉公寓B型公寓一期外立面</t>
  </si>
  <si>
    <t>XMF13-37</t>
  </si>
  <si>
    <t>新宁波站改建工程</t>
  </si>
  <si>
    <t>XMF13-38</t>
  </si>
  <si>
    <t>国网智能电网研究院倒班宿舍楼</t>
  </si>
  <si>
    <t>SY2013-09</t>
  </si>
  <si>
    <t>北京总参塔院干休所住宅楼</t>
  </si>
  <si>
    <t>XMF13-39</t>
  </si>
  <si>
    <t>锋创科技园4#研发办公楼</t>
  </si>
  <si>
    <t>XMF13-40</t>
  </si>
  <si>
    <t>望海楼南侧</t>
  </si>
  <si>
    <t>XMF13-42</t>
  </si>
  <si>
    <t>成功（中国）大广场休闲娱乐中心</t>
  </si>
  <si>
    <t>XMF13-43</t>
  </si>
  <si>
    <t>华远大厦维修项目</t>
  </si>
  <si>
    <t>SY2013-10</t>
  </si>
  <si>
    <t>西安中海国际社区</t>
  </si>
  <si>
    <t>XMF13-47</t>
  </si>
  <si>
    <t>数据技术研发中心建设项目6#楼</t>
  </si>
  <si>
    <t>XMF13-44</t>
  </si>
  <si>
    <t>香河鸿坤理想城阳光项目</t>
  </si>
  <si>
    <t>XMF13-45</t>
  </si>
  <si>
    <t>1#楼生物技术研发中心项目幕墙工程</t>
  </si>
  <si>
    <t>XMF13-48</t>
  </si>
  <si>
    <t>研发办公楼D座等16项</t>
  </si>
  <si>
    <t>XMF13-49</t>
  </si>
  <si>
    <t>天津红星国际广场3#地A2-A4楼</t>
  </si>
  <si>
    <t>XMF13-46</t>
  </si>
  <si>
    <t>A1厂房等8项-B1研发楼</t>
  </si>
  <si>
    <t>SY2013-11</t>
  </si>
  <si>
    <t>廊坊幸福园</t>
  </si>
  <si>
    <t>XMF13-50</t>
  </si>
  <si>
    <t>金宝花园</t>
  </si>
  <si>
    <t>XMF13-52</t>
  </si>
  <si>
    <t>橡树湾售楼样板间</t>
  </si>
  <si>
    <t>XMF13-41</t>
  </si>
  <si>
    <t>欧逸丽庭二期北标段项目</t>
  </si>
  <si>
    <t>XMF13-53</t>
  </si>
  <si>
    <t>肽谷生命科学园1-2期</t>
  </si>
  <si>
    <t>XMF13-54</t>
  </si>
  <si>
    <t>门头沟项目B区铝合金门窗及百叶</t>
  </si>
  <si>
    <t>大厂</t>
  </si>
  <si>
    <t>XMF13-51</t>
  </si>
  <si>
    <t>大兴定向安置房（榆垡）</t>
  </si>
  <si>
    <t>SY2013-14</t>
  </si>
  <si>
    <t>内蒙金隅丽港售楼处</t>
  </si>
  <si>
    <t>SY2013-17及增1</t>
  </si>
  <si>
    <t>衡水大厦</t>
  </si>
  <si>
    <t>SY2013-20</t>
  </si>
  <si>
    <t>卢沟桥小瓦窑村1#回迁房</t>
  </si>
  <si>
    <t>XMF13-55</t>
  </si>
  <si>
    <t>德州康博公馆一期一标段工程</t>
  </si>
  <si>
    <t>SY2013-23</t>
  </si>
  <si>
    <t>曲美家具</t>
  </si>
  <si>
    <t>SY2013-12及增1</t>
  </si>
  <si>
    <t>门头沟天台山居住项目</t>
  </si>
  <si>
    <t>SY2013-15及增1</t>
  </si>
  <si>
    <t>航空城北区一号门房</t>
  </si>
  <si>
    <t>SY2013-21</t>
  </si>
  <si>
    <t>创新国际2#5#6#8#楼铝合金门窗</t>
  </si>
  <si>
    <t>SY2013-18</t>
  </si>
  <si>
    <t>金隅时代二期</t>
  </si>
  <si>
    <t>XMF13-56</t>
  </si>
  <si>
    <t>房山长沟镇改造一期</t>
  </si>
  <si>
    <t>SY2013-24</t>
  </si>
  <si>
    <t>南昌万达广场</t>
  </si>
  <si>
    <t>SY2013-13</t>
  </si>
  <si>
    <t>阜外心血管后勤服务中心</t>
  </si>
  <si>
    <t>SY2013-16</t>
  </si>
  <si>
    <t>北七家公建住宅</t>
  </si>
  <si>
    <t>SY2013-22</t>
  </si>
  <si>
    <t>东莞厚街万达广场</t>
  </si>
  <si>
    <t>SY2013-19</t>
  </si>
  <si>
    <t>无锡万达文化旅游展示中心</t>
  </si>
  <si>
    <t>XMF13-57</t>
  </si>
  <si>
    <t>合肥南站</t>
  </si>
  <si>
    <t>XMF13-58</t>
  </si>
  <si>
    <t>华茂嘉园住宅小区隔热</t>
  </si>
  <si>
    <t>XMF13-59</t>
  </si>
  <si>
    <t>5#生物研发楼外幕墙工程</t>
  </si>
  <si>
    <t>XMF13-60</t>
  </si>
  <si>
    <t>总政机关黄寺礼堂</t>
  </si>
  <si>
    <t>XMF14-01</t>
  </si>
  <si>
    <t>贵阳北站</t>
  </si>
  <si>
    <t>XMF14-02</t>
  </si>
  <si>
    <t>3829玻璃石材幕墙及断桥铝合金</t>
  </si>
  <si>
    <t>SY2014-01</t>
  </si>
  <si>
    <t>九棵树三标段</t>
  </si>
  <si>
    <t>XMF14-04</t>
  </si>
  <si>
    <t>北京实创科技园开发建设股份有限公司</t>
  </si>
  <si>
    <t>SY2014-02及增1</t>
  </si>
  <si>
    <t>和泓四季9#外墙装饰及门窗</t>
  </si>
  <si>
    <t>XMF14-06</t>
  </si>
  <si>
    <t>北京嘉里中心翻装项目办公楼</t>
  </si>
  <si>
    <t>SY2014-03</t>
  </si>
  <si>
    <t>大同国金中心</t>
  </si>
  <si>
    <t>XMF14-07</t>
  </si>
  <si>
    <t>德州康博公馆一期2#工程</t>
  </si>
  <si>
    <t>XMF14-09</t>
  </si>
  <si>
    <t>北京西红门兴海学校扩建项目</t>
  </si>
  <si>
    <t>SY2014-04</t>
  </si>
  <si>
    <t>黄石万达广场设计合同</t>
  </si>
  <si>
    <t>XMF14-08</t>
  </si>
  <si>
    <t>北京联合大学第二教学楼</t>
  </si>
  <si>
    <t>XMF14-12</t>
  </si>
  <si>
    <t>援肯尼亚卡通都医院</t>
  </si>
  <si>
    <t>XMF14-10</t>
  </si>
  <si>
    <t>中国人民解放军96819部队综合管理楼</t>
  </si>
  <si>
    <t>XMF14-11</t>
  </si>
  <si>
    <t>大兴京城高尔夫俱乐部</t>
  </si>
  <si>
    <t>SY2014-05</t>
  </si>
  <si>
    <t>天津河东万达广场</t>
  </si>
  <si>
    <t>XMF14-15</t>
  </si>
  <si>
    <t>双井宿舍楼工程</t>
  </si>
  <si>
    <t>XMF14-13</t>
  </si>
  <si>
    <t>XMF14-17</t>
  </si>
  <si>
    <t>大兴旧宫中学改扩建项目</t>
  </si>
  <si>
    <t>XMF14-14</t>
  </si>
  <si>
    <t>国家体育总局乒乓球馆</t>
  </si>
  <si>
    <t>XMF14-18</t>
  </si>
  <si>
    <t>M5样板间外立面幕墙</t>
  </si>
  <si>
    <t>XMF14-19</t>
  </si>
  <si>
    <t>东北旺农场科研楼一号楼</t>
  </si>
  <si>
    <t>SY2014-06</t>
  </si>
  <si>
    <t>沈阳太原街万达广场</t>
  </si>
  <si>
    <t>XMF14-20</t>
  </si>
  <si>
    <t>61785部队二期经济适用房</t>
  </si>
  <si>
    <t>XMF14-21</t>
  </si>
  <si>
    <t>北京中医药大学良乡校区东院</t>
  </si>
  <si>
    <t>SY2014-25</t>
  </si>
  <si>
    <t>南通港闸万达售楼处设计</t>
  </si>
  <si>
    <t>SY2014-31</t>
  </si>
  <si>
    <t>大兴区黄村镇四-六街安置房</t>
  </si>
  <si>
    <t>SY2014-28</t>
  </si>
  <si>
    <t>中关村e世界大厦玻璃幕墙改造</t>
  </si>
  <si>
    <t>XMF14-28</t>
  </si>
  <si>
    <t>北京市十一学校改造工程</t>
  </si>
  <si>
    <t>SY2014-34</t>
  </si>
  <si>
    <t>中国科学院大学玉泉营小区改造工程</t>
  </si>
  <si>
    <t>SY2014-08及增1</t>
  </si>
  <si>
    <t>重庆巴南万达</t>
  </si>
  <si>
    <t>SY2014-11</t>
  </si>
  <si>
    <t>东莞厚街万达采光顶</t>
  </si>
  <si>
    <t>SY2014-14</t>
  </si>
  <si>
    <t>合肥万达文化旅游城A2地块设计</t>
  </si>
  <si>
    <t>SY2014-17</t>
  </si>
  <si>
    <t>通辽万达广场销售及回迁物业设计</t>
  </si>
  <si>
    <t>SY2014-20</t>
  </si>
  <si>
    <t>泰安万达广场</t>
  </si>
  <si>
    <t>XMF14-22</t>
  </si>
  <si>
    <t>天津武清原乡郡项目示范区</t>
  </si>
  <si>
    <t>SY2014-23</t>
  </si>
  <si>
    <t>苏州吴中万达广场样板段</t>
  </si>
  <si>
    <t>SY2014-26</t>
  </si>
  <si>
    <t>青岛CBD万达安全隐患整改设计</t>
  </si>
  <si>
    <t>XMF14-26</t>
  </si>
  <si>
    <t>6201工程</t>
  </si>
  <si>
    <t>SY2014-32</t>
  </si>
  <si>
    <t>西山9号院采光顶改造工程</t>
  </si>
  <si>
    <t>SY2014-29</t>
  </si>
  <si>
    <t>大连开发区万达广场</t>
  </si>
  <si>
    <t>SY2014-35</t>
  </si>
  <si>
    <t>十堰万达售楼处设计</t>
  </si>
  <si>
    <t>SY2014-09</t>
  </si>
  <si>
    <t>兰州理工大学设计合同</t>
  </si>
  <si>
    <t>SY2014-12</t>
  </si>
  <si>
    <t>北七家TBD云集团项目幕墙工程（标段3）合同</t>
  </si>
  <si>
    <t>SY2014-15</t>
  </si>
  <si>
    <t>中科院新园区8标段（体育中心、礼堂）</t>
  </si>
  <si>
    <t>SY2014-18</t>
  </si>
  <si>
    <t>宿州万达广场售楼处</t>
  </si>
  <si>
    <t>SY2014-21</t>
  </si>
  <si>
    <t>三利.中和城售楼处及样板间</t>
  </si>
  <si>
    <t>SY2014-24</t>
  </si>
  <si>
    <t>冠京饭店改造</t>
  </si>
  <si>
    <t>SY2014-30</t>
  </si>
  <si>
    <t>郫县万达广场销售中心外幕墙</t>
  </si>
  <si>
    <t>SY2014-27</t>
  </si>
  <si>
    <t>乌鲁木齐经开万达广场设计合同</t>
  </si>
  <si>
    <t>XMF14-27</t>
  </si>
  <si>
    <t>21#住宅楼等18项</t>
  </si>
  <si>
    <t>SY2014-33</t>
  </si>
  <si>
    <t>广州增城万达文化旅游展示中心</t>
  </si>
  <si>
    <t>SY2014-36</t>
  </si>
  <si>
    <t>岗亭购销合同</t>
  </si>
  <si>
    <t>SY2014-10及增1</t>
  </si>
  <si>
    <t>通辽万达广场商业设计</t>
  </si>
  <si>
    <t>SY2014-07</t>
  </si>
  <si>
    <t>沈阳铁西万达广场</t>
  </si>
  <si>
    <t>SY2014-13</t>
  </si>
  <si>
    <t>南昌A101行政办公楼</t>
  </si>
  <si>
    <t>SY2014-16</t>
  </si>
  <si>
    <t>呼和浩特幕墙安全隐患整改设计合同</t>
  </si>
  <si>
    <t>SY2014-19</t>
  </si>
  <si>
    <t>桂林万达城展示中心</t>
  </si>
  <si>
    <t>SY2014-22</t>
  </si>
  <si>
    <t>广州南沙万达广场售楼处</t>
  </si>
  <si>
    <t>XMF14-25</t>
  </si>
  <si>
    <t>海淀清河二期B4区</t>
  </si>
  <si>
    <t>XMF14-24</t>
  </si>
  <si>
    <t>靓景明居四期</t>
  </si>
  <si>
    <t>XMF14-29</t>
  </si>
  <si>
    <t>总政机关东区34号楼断桥铝合金</t>
  </si>
  <si>
    <t>trice</t>
    <phoneticPr fontId="2" type="noConversion"/>
  </si>
  <si>
    <t>description</t>
    <phoneticPr fontId="2" type="noConversion"/>
  </si>
  <si>
    <t>project_code</t>
    <phoneticPr fontId="2" type="noConversion"/>
  </si>
  <si>
    <t>project_name</t>
    <phoneticPr fontId="2" type="noConversion"/>
  </si>
  <si>
    <t>organization_name</t>
    <phoneticPr fontId="2" type="noConversion"/>
  </si>
  <si>
    <t>party_name</t>
    <phoneticPr fontId="2" type="noConversion"/>
  </si>
  <si>
    <t>party_address</t>
    <phoneticPr fontId="2" type="noConversion"/>
  </si>
  <si>
    <t>manager</t>
    <phoneticPr fontId="2" type="noConversion"/>
  </si>
  <si>
    <t>corperation</t>
    <phoneticPr fontId="2" type="noConversion"/>
  </si>
  <si>
    <t>legal_assignee</t>
    <phoneticPr fontId="2" type="noConversion"/>
  </si>
  <si>
    <t>is_withholding_offsite</t>
    <phoneticPr fontId="2" type="noConversion"/>
  </si>
  <si>
    <t>contract_code</t>
    <phoneticPr fontId="2" type="noConversion"/>
  </si>
  <si>
    <t>contract_amount</t>
    <phoneticPr fontId="2" type="noConversion"/>
  </si>
  <si>
    <t>change_amount</t>
    <phoneticPr fontId="2" type="noConversion"/>
  </si>
  <si>
    <t>change_total_amount</t>
    <phoneticPr fontId="2" type="noConversion"/>
  </si>
  <si>
    <t>settlement_amount</t>
    <phoneticPr fontId="2" type="noConversion"/>
  </si>
  <si>
    <t>duty_paid_code</t>
    <phoneticPr fontId="2" type="noConversion"/>
  </si>
  <si>
    <t>duty_paid_time</t>
    <phoneticPr fontId="2" type="noConversion"/>
  </si>
  <si>
    <t>duty_paid_amount</t>
  </si>
  <si>
    <t>capital_occupied</t>
    <phoneticPr fontId="2" type="noConversion"/>
  </si>
  <si>
    <t>project_status</t>
    <phoneticPr fontId="2" type="noConversion"/>
  </si>
  <si>
    <t>management_rate</t>
    <phoneticPr fontId="2" type="noConversion"/>
  </si>
  <si>
    <t>management_plan_amount</t>
    <phoneticPr fontId="2" type="noConversion"/>
  </si>
  <si>
    <t>management_real_amount</t>
    <phoneticPr fontId="2" type="noConversion"/>
  </si>
  <si>
    <t>management_total_amount</t>
    <phoneticPr fontId="2" type="noConversion"/>
  </si>
  <si>
    <t>management_owe_amount</t>
    <phoneticPr fontId="2" type="noConversion"/>
  </si>
  <si>
    <t>party_billing_amount</t>
    <phoneticPr fontId="2" type="noConversion"/>
  </si>
  <si>
    <t>party_billing_total_amount</t>
    <phoneticPr fontId="2" type="noConversion"/>
  </si>
  <si>
    <t>collections_amount</t>
    <phoneticPr fontId="2" type="noConversion"/>
  </si>
  <si>
    <t>collections_total_amount</t>
    <phoneticPr fontId="2" type="noConversion"/>
  </si>
  <si>
    <t>collections_rate</t>
    <phoneticPr fontId="2" type="noConversion"/>
  </si>
  <si>
    <t>customer_billing_amount</t>
    <phoneticPr fontId="2" type="noConversion"/>
  </si>
  <si>
    <t>customer_billing_total_amount</t>
  </si>
  <si>
    <t>payment_amount</t>
    <phoneticPr fontId="2" type="noConversion"/>
  </si>
  <si>
    <t>payment_amount_clv</t>
    <phoneticPr fontId="2" type="noConversion"/>
  </si>
  <si>
    <t>payment_amount_cliang</t>
    <phoneticPr fontId="2" type="noConversion"/>
  </si>
  <si>
    <t>payment_amount_zdai</t>
    <phoneticPr fontId="2" type="noConversion"/>
  </si>
  <si>
    <t>payment_total_amount</t>
    <phoneticPr fontId="2" type="noConversion"/>
  </si>
  <si>
    <t>tax_rate</t>
    <phoneticPr fontId="2" type="noConversion"/>
  </si>
  <si>
    <t>tax_plan_amount</t>
    <phoneticPr fontId="2" type="noConversion"/>
  </si>
  <si>
    <t>tax_real_amount</t>
    <phoneticPr fontId="2" type="noConversion"/>
  </si>
  <si>
    <t>tax_total_amount</t>
    <phoneticPr fontId="2" type="noConversion"/>
  </si>
  <si>
    <t>tax_owe_amount</t>
    <phoneticPr fontId="2" type="noConversion"/>
  </si>
  <si>
    <t>arrears_amount</t>
    <phoneticPr fontId="2" type="noConversion"/>
  </si>
  <si>
    <t>expected_value</t>
    <phoneticPr fontId="2" type="noConversion"/>
  </si>
  <si>
    <t>profile_point</t>
    <phoneticPr fontId="2" type="noConversion"/>
  </si>
  <si>
    <t>2009-03-01</t>
  </si>
  <si>
    <t>刘海青</t>
  </si>
  <si>
    <t>SY2009-03</t>
    <phoneticPr fontId="2" type="noConversion"/>
  </si>
  <si>
    <t>四方景园工程</t>
    <phoneticPr fontId="2" type="noConversion"/>
  </si>
  <si>
    <t>事业部</t>
    <phoneticPr fontId="2" type="noConversion"/>
  </si>
  <si>
    <t>刘海青</t>
    <phoneticPr fontId="2" type="noConversion"/>
  </si>
  <si>
    <t>否</t>
    <phoneticPr fontId="2" type="noConversion"/>
  </si>
  <si>
    <t>已结算</t>
    <phoneticPr fontId="2" type="noConversion"/>
  </si>
  <si>
    <t>2010-01-01</t>
  </si>
  <si>
    <t>SY2010-01</t>
    <phoneticPr fontId="2" type="noConversion"/>
  </si>
  <si>
    <t>中直机关</t>
    <phoneticPr fontId="2" type="noConversion"/>
  </si>
  <si>
    <t>已暂停</t>
    <phoneticPr fontId="2" type="noConversion"/>
  </si>
  <si>
    <t>2010-02-01</t>
  </si>
  <si>
    <t>SY2010-02</t>
    <phoneticPr fontId="2" type="noConversion"/>
  </si>
  <si>
    <t>大万综合楼</t>
    <phoneticPr fontId="2" type="noConversion"/>
  </si>
  <si>
    <t>否</t>
    <phoneticPr fontId="2" type="noConversion"/>
  </si>
  <si>
    <t>是</t>
    <phoneticPr fontId="2" type="noConversion"/>
  </si>
  <si>
    <t>2010-03-01</t>
  </si>
  <si>
    <t>SY2010-03</t>
    <phoneticPr fontId="2" type="noConversion"/>
  </si>
  <si>
    <t>北京嘉泽生态园</t>
    <phoneticPr fontId="2" type="noConversion"/>
  </si>
  <si>
    <t>2011-01-01</t>
  </si>
  <si>
    <t>事业一部</t>
  </si>
  <si>
    <t>SY2011-01</t>
    <phoneticPr fontId="2" type="noConversion"/>
  </si>
  <si>
    <t>北京汽车城</t>
    <phoneticPr fontId="2" type="noConversion"/>
  </si>
  <si>
    <t>中国中铁航空港建设集团有限公司</t>
    <phoneticPr fontId="2" type="noConversion"/>
  </si>
  <si>
    <t>北京市顺义区</t>
    <phoneticPr fontId="2" type="noConversion"/>
  </si>
  <si>
    <t>马冬雷</t>
    <phoneticPr fontId="2" type="noConversion"/>
  </si>
  <si>
    <t>北京和平简商贸有限公司</t>
    <phoneticPr fontId="2" type="noConversion"/>
  </si>
  <si>
    <t>马冬雷</t>
    <phoneticPr fontId="2" type="noConversion"/>
  </si>
  <si>
    <t>2011-05-01</t>
  </si>
  <si>
    <t>SY2011-05</t>
    <phoneticPr fontId="2" type="noConversion"/>
  </si>
  <si>
    <t>顺义汽车城</t>
    <phoneticPr fontId="2" type="noConversion"/>
  </si>
  <si>
    <t>中国中铁航空港建设集团有限公司</t>
    <phoneticPr fontId="2" type="noConversion"/>
  </si>
  <si>
    <t>北京市顺义区</t>
    <phoneticPr fontId="2" type="noConversion"/>
  </si>
  <si>
    <t>2011-07-01</t>
  </si>
  <si>
    <t>SY2011-07</t>
    <phoneticPr fontId="2" type="noConversion"/>
  </si>
  <si>
    <t>顺义汽车城（幕墙工程）</t>
    <phoneticPr fontId="2" type="noConversion"/>
  </si>
  <si>
    <t>事业部</t>
    <phoneticPr fontId="2" type="noConversion"/>
  </si>
  <si>
    <t>中国中铁航空港建设集团有限公司</t>
    <phoneticPr fontId="2" type="noConversion"/>
  </si>
  <si>
    <t>已暂停</t>
    <phoneticPr fontId="2" type="noConversion"/>
  </si>
  <si>
    <t>SY2011-07增</t>
    <phoneticPr fontId="2" type="noConversion"/>
  </si>
  <si>
    <t>2012-01-01</t>
  </si>
  <si>
    <t>孙景龙</t>
  </si>
  <si>
    <t>SY2012-01</t>
    <phoneticPr fontId="2" type="noConversion"/>
  </si>
  <si>
    <t>鸿嘉会所</t>
    <phoneticPr fontId="2" type="noConversion"/>
  </si>
  <si>
    <t>2012-02-01</t>
  </si>
  <si>
    <t>SY2012-02</t>
    <phoneticPr fontId="2" type="noConversion"/>
  </si>
  <si>
    <t>鸿嘉商务楼</t>
    <phoneticPr fontId="2" type="noConversion"/>
  </si>
  <si>
    <t>否</t>
    <phoneticPr fontId="2" type="noConversion"/>
  </si>
  <si>
    <t>2012-03-01</t>
  </si>
  <si>
    <t>SY2012-03</t>
    <phoneticPr fontId="2" type="noConversion"/>
  </si>
  <si>
    <t>融科智地</t>
    <phoneticPr fontId="2" type="noConversion"/>
  </si>
  <si>
    <t>2012-04-01</t>
  </si>
  <si>
    <t>事业三部</t>
  </si>
  <si>
    <t>SY2012-04</t>
    <phoneticPr fontId="2" type="noConversion"/>
  </si>
  <si>
    <t>江西908综合楼</t>
    <phoneticPr fontId="2" type="noConversion"/>
  </si>
  <si>
    <t>海力建设集团有限公司(甲方1）                中国航空国际建设有限公司（甲方2）</t>
    <phoneticPr fontId="2" type="noConversion"/>
  </si>
  <si>
    <t>江西洪都航空工业集团有限责任公司院内</t>
    <phoneticPr fontId="2" type="noConversion"/>
  </si>
  <si>
    <t>李平</t>
    <phoneticPr fontId="2" type="noConversion"/>
  </si>
  <si>
    <t>北京九天装饰有限责任公司</t>
    <phoneticPr fontId="2" type="noConversion"/>
  </si>
  <si>
    <t>李平</t>
    <phoneticPr fontId="2" type="noConversion"/>
  </si>
  <si>
    <t>是</t>
    <phoneticPr fontId="2" type="noConversion"/>
  </si>
  <si>
    <t>正常进行</t>
    <phoneticPr fontId="2" type="noConversion"/>
  </si>
  <si>
    <t>2012-06-01</t>
  </si>
  <si>
    <t>事业五部</t>
  </si>
  <si>
    <t>SY2012-06</t>
    <phoneticPr fontId="2" type="noConversion"/>
  </si>
  <si>
    <t>兴城莲花酒店</t>
    <phoneticPr fontId="2" type="noConversion"/>
  </si>
  <si>
    <t>葫芦岛海上海莲花商务酒店有限公司</t>
    <phoneticPr fontId="2" type="noConversion"/>
  </si>
  <si>
    <t>兴城市</t>
    <phoneticPr fontId="2" type="noConversion"/>
  </si>
  <si>
    <t>邵永辉</t>
    <phoneticPr fontId="2" type="noConversion"/>
  </si>
  <si>
    <t>葫芦岛志远事业有限公司</t>
    <phoneticPr fontId="2" type="noConversion"/>
  </si>
  <si>
    <t>2012-07-01</t>
  </si>
  <si>
    <t>SY2012-07</t>
    <phoneticPr fontId="2" type="noConversion"/>
  </si>
  <si>
    <t>兴城公安局</t>
    <phoneticPr fontId="2" type="noConversion"/>
  </si>
  <si>
    <t>兴城市</t>
    <phoneticPr fontId="2" type="noConversion"/>
  </si>
  <si>
    <t>邵永辉</t>
    <phoneticPr fontId="2" type="noConversion"/>
  </si>
  <si>
    <t>2012-08-01</t>
  </si>
  <si>
    <t>SY2012-08</t>
    <phoneticPr fontId="2" type="noConversion"/>
  </si>
  <si>
    <t>唐山君熙</t>
    <phoneticPr fontId="2" type="noConversion"/>
  </si>
  <si>
    <t>唐山君熙房地产开发有限公司</t>
    <phoneticPr fontId="2" type="noConversion"/>
  </si>
  <si>
    <t>唐山丰南区</t>
  </si>
  <si>
    <t>北京和平简商贸有限公司</t>
    <phoneticPr fontId="2" type="noConversion"/>
  </si>
  <si>
    <t>2012-09-01</t>
  </si>
  <si>
    <t>事业十部</t>
  </si>
  <si>
    <t>呼市中海御龙湾</t>
    <phoneticPr fontId="2" type="noConversion"/>
  </si>
  <si>
    <t>呼和浩特市中海宏洋地产有限公司</t>
    <phoneticPr fontId="2" type="noConversion"/>
  </si>
  <si>
    <t>呼和浩特市</t>
    <phoneticPr fontId="2" type="noConversion"/>
  </si>
  <si>
    <t>高元生</t>
    <phoneticPr fontId="2" type="noConversion"/>
  </si>
  <si>
    <t>北京源生缘门窗有限公司</t>
    <phoneticPr fontId="2" type="noConversion"/>
  </si>
  <si>
    <t>正常进行</t>
    <phoneticPr fontId="2" type="noConversion"/>
  </si>
  <si>
    <t>2012-10-01</t>
  </si>
  <si>
    <t>事业十二部</t>
  </si>
  <si>
    <t>北京军区装备部</t>
    <phoneticPr fontId="2" type="noConversion"/>
  </si>
  <si>
    <t>中航天建设工程有限公司</t>
    <phoneticPr fontId="2" type="noConversion"/>
  </si>
  <si>
    <t>北京市丰台区东大街41号</t>
    <phoneticPr fontId="2" type="noConversion"/>
  </si>
  <si>
    <t>陈建中</t>
    <phoneticPr fontId="2" type="noConversion"/>
  </si>
  <si>
    <t>北京源泰力建筑装饰工程有限公司</t>
    <phoneticPr fontId="2" type="noConversion"/>
  </si>
  <si>
    <t>SY2012-10增1</t>
    <phoneticPr fontId="2" type="noConversion"/>
  </si>
  <si>
    <t>北京市丰台区东大街42号</t>
  </si>
  <si>
    <t>北京源泰力建筑装饰工程有限公司</t>
    <phoneticPr fontId="2" type="noConversion"/>
  </si>
  <si>
    <t>陈建中</t>
    <phoneticPr fontId="2" type="noConversion"/>
  </si>
  <si>
    <t>2012-11-01</t>
  </si>
  <si>
    <t>SY2012-11</t>
    <phoneticPr fontId="2" type="noConversion"/>
  </si>
  <si>
    <t>大兴教委会</t>
    <phoneticPr fontId="2" type="noConversion"/>
  </si>
  <si>
    <t>大兴区教育委员会</t>
    <phoneticPr fontId="2" type="noConversion"/>
  </si>
  <si>
    <t>北京市大兴区</t>
    <phoneticPr fontId="2" type="noConversion"/>
  </si>
  <si>
    <t>北京源生缘门窗有限公司</t>
    <phoneticPr fontId="2" type="noConversion"/>
  </si>
  <si>
    <t>高元生</t>
    <phoneticPr fontId="2" type="noConversion"/>
  </si>
  <si>
    <t>2012-12-01</t>
  </si>
  <si>
    <t>事业二部</t>
  </si>
  <si>
    <t>西藏自然博物馆</t>
    <phoneticPr fontId="2" type="noConversion"/>
  </si>
  <si>
    <t>中国机械工业建设集团有限公司</t>
    <phoneticPr fontId="2" type="noConversion"/>
  </si>
  <si>
    <t>西藏自治区拉萨市</t>
    <phoneticPr fontId="2" type="noConversion"/>
  </si>
  <si>
    <t>王培俊</t>
    <phoneticPr fontId="2" type="noConversion"/>
  </si>
  <si>
    <t>北京玉林强钢化玻璃有限公司</t>
    <phoneticPr fontId="2" type="noConversion"/>
  </si>
  <si>
    <t>王培彦</t>
    <phoneticPr fontId="2" type="noConversion"/>
  </si>
  <si>
    <t>SY2012-12增1</t>
    <phoneticPr fontId="2" type="noConversion"/>
  </si>
  <si>
    <t>西藏自然博物馆</t>
    <phoneticPr fontId="2" type="noConversion"/>
  </si>
  <si>
    <t>王培俊</t>
    <phoneticPr fontId="2" type="noConversion"/>
  </si>
  <si>
    <t>北京玉林强钢化玻璃有限公司</t>
    <phoneticPr fontId="2" type="noConversion"/>
  </si>
  <si>
    <t>事业十六部</t>
  </si>
  <si>
    <t>SY2012-13</t>
    <phoneticPr fontId="2" type="noConversion"/>
  </si>
  <si>
    <t>西城区扩建办公楼</t>
    <phoneticPr fontId="2" type="noConversion"/>
  </si>
  <si>
    <t>北京建工集团有限公司</t>
    <phoneticPr fontId="2" type="noConversion"/>
  </si>
  <si>
    <t>北京市西城区西内冠英园西区联络处</t>
    <phoneticPr fontId="2" type="noConversion"/>
  </si>
  <si>
    <t>韩魁</t>
    <phoneticPr fontId="2" type="noConversion"/>
  </si>
  <si>
    <t>北京嘉世弘商贸有限公司</t>
    <phoneticPr fontId="2" type="noConversion"/>
  </si>
  <si>
    <t>已结算</t>
    <phoneticPr fontId="2" type="noConversion"/>
  </si>
  <si>
    <t>平阳景苑</t>
    <phoneticPr fontId="2" type="noConversion"/>
  </si>
  <si>
    <t>山西恒实平阳房地产开发有限公司</t>
    <phoneticPr fontId="2" type="noConversion"/>
  </si>
  <si>
    <t>山西</t>
    <phoneticPr fontId="2" type="noConversion"/>
  </si>
  <si>
    <t>事业十一部</t>
  </si>
  <si>
    <t>丹东万达</t>
    <phoneticPr fontId="2" type="noConversion"/>
  </si>
  <si>
    <t>丹东万达广场有限公司</t>
    <phoneticPr fontId="2" type="noConversion"/>
  </si>
  <si>
    <t>锦山大街以北，立交新路以西</t>
    <phoneticPr fontId="2" type="noConversion"/>
  </si>
  <si>
    <t>李文达</t>
    <phoneticPr fontId="2" type="noConversion"/>
  </si>
  <si>
    <t>三河市汇远通达装饰有限公司</t>
    <phoneticPr fontId="2" type="noConversion"/>
  </si>
  <si>
    <t>李文达</t>
    <phoneticPr fontId="2" type="noConversion"/>
  </si>
  <si>
    <t>2013-01-01</t>
  </si>
  <si>
    <t>SY2013-01</t>
    <phoneticPr fontId="2" type="noConversion"/>
  </si>
  <si>
    <t>阜外心血管玻璃幕墙</t>
    <phoneticPr fontId="2" type="noConversion"/>
  </si>
  <si>
    <t>中国医学科学院阜外心血管医院</t>
    <phoneticPr fontId="2" type="noConversion"/>
  </si>
  <si>
    <t>门头沟区永定镇冯村西里阜外医院西山院区</t>
    <phoneticPr fontId="2" type="noConversion"/>
  </si>
  <si>
    <t>2013-02-01</t>
  </si>
  <si>
    <t>唐山君熙太和石材幕墙</t>
    <phoneticPr fontId="2" type="noConversion"/>
  </si>
  <si>
    <t>唐山君熙房地产开发有限公司</t>
    <phoneticPr fontId="2" type="noConversion"/>
  </si>
  <si>
    <t>2013-03-01</t>
  </si>
  <si>
    <t>神农架机场航站楼</t>
    <phoneticPr fontId="2" type="noConversion"/>
  </si>
  <si>
    <t>北京金港机场建设有限责任公司</t>
    <phoneticPr fontId="2" type="noConversion"/>
  </si>
  <si>
    <t>神农架林区红坪镇</t>
    <phoneticPr fontId="2" type="noConversion"/>
  </si>
  <si>
    <t>是</t>
    <phoneticPr fontId="2" type="noConversion"/>
  </si>
  <si>
    <t>否</t>
    <phoneticPr fontId="2" type="noConversion"/>
  </si>
  <si>
    <t>正常进行</t>
    <phoneticPr fontId="2" type="noConversion"/>
  </si>
  <si>
    <t>2013-04-01</t>
  </si>
  <si>
    <t>渤海船舶职业学院</t>
    <phoneticPr fontId="2" type="noConversion"/>
  </si>
  <si>
    <t>事业部</t>
    <phoneticPr fontId="2" type="noConversion"/>
  </si>
  <si>
    <t>葫芦岛</t>
    <phoneticPr fontId="2" type="noConversion"/>
  </si>
  <si>
    <t>邵永辉</t>
    <phoneticPr fontId="2" type="noConversion"/>
  </si>
  <si>
    <t>葫芦岛志远事业有限公司</t>
    <phoneticPr fontId="2" type="noConversion"/>
  </si>
  <si>
    <t>邵永辉</t>
    <phoneticPr fontId="2" type="noConversion"/>
  </si>
  <si>
    <t>是</t>
    <phoneticPr fontId="2" type="noConversion"/>
  </si>
  <si>
    <t>2013-05-01</t>
  </si>
  <si>
    <t>B1-01、B1-02厂房外墙</t>
    <phoneticPr fontId="2" type="noConversion"/>
  </si>
  <si>
    <t>江西洪都航空工业股份有限公司</t>
  </si>
  <si>
    <t>南昌航空城航空路以东</t>
    <phoneticPr fontId="2" type="noConversion"/>
  </si>
  <si>
    <t>SY2013-05增1</t>
    <phoneticPr fontId="2" type="noConversion"/>
  </si>
  <si>
    <t>南昌物流中心B02厂房外墙</t>
    <phoneticPr fontId="2" type="noConversion"/>
  </si>
  <si>
    <t>事业部</t>
    <phoneticPr fontId="2" type="noConversion"/>
  </si>
  <si>
    <t>李平</t>
    <phoneticPr fontId="2" type="noConversion"/>
  </si>
  <si>
    <t>是</t>
    <phoneticPr fontId="2" type="noConversion"/>
  </si>
  <si>
    <t>2013-06-01</t>
  </si>
  <si>
    <t>事业十五部</t>
  </si>
  <si>
    <t>SY2013-06</t>
    <phoneticPr fontId="2" type="noConversion"/>
  </si>
  <si>
    <t>漯河驻京办事处</t>
    <phoneticPr fontId="2" type="noConversion"/>
  </si>
  <si>
    <t>漯河市人民政府驻北京联络处</t>
    <phoneticPr fontId="2" type="noConversion"/>
  </si>
  <si>
    <t>北京市西城区西直门内大街南草厂街</t>
    <phoneticPr fontId="2" type="noConversion"/>
  </si>
  <si>
    <t>周成军</t>
    <phoneticPr fontId="2" type="noConversion"/>
  </si>
  <si>
    <t>北京荣发建筑装饰工程有限公司</t>
    <phoneticPr fontId="2" type="noConversion"/>
  </si>
  <si>
    <t>周成军</t>
    <phoneticPr fontId="2" type="noConversion"/>
  </si>
  <si>
    <t>2013-07-01</t>
  </si>
  <si>
    <t>呼市宇生苑售楼中心</t>
    <phoneticPr fontId="2" type="noConversion"/>
  </si>
  <si>
    <t>内蒙古南璞房地产开发有限公司</t>
    <phoneticPr fontId="2" type="noConversion"/>
  </si>
  <si>
    <t>呼和浩特市新城区南店滨水新村</t>
    <phoneticPr fontId="2" type="noConversion"/>
  </si>
  <si>
    <t>高元生</t>
    <phoneticPr fontId="2" type="noConversion"/>
  </si>
  <si>
    <t>2013-08-01</t>
  </si>
  <si>
    <t>办公综合楼（冠京先河）</t>
    <phoneticPr fontId="2" type="noConversion"/>
  </si>
  <si>
    <t>北京市冠京先河建筑工程有限公司</t>
    <phoneticPr fontId="2" type="noConversion"/>
  </si>
  <si>
    <t>北京市丰台区角门北路6号</t>
    <phoneticPr fontId="2" type="noConversion"/>
  </si>
  <si>
    <t>北京荣发建筑装饰工程有限公司</t>
    <phoneticPr fontId="2" type="noConversion"/>
  </si>
  <si>
    <t>否</t>
    <phoneticPr fontId="2" type="noConversion"/>
  </si>
  <si>
    <t>否</t>
    <phoneticPr fontId="2" type="noConversion"/>
  </si>
  <si>
    <t>正常进行</t>
    <phoneticPr fontId="2" type="noConversion"/>
  </si>
  <si>
    <t>2013-09-01</t>
  </si>
  <si>
    <t>北京总参塔院干休所住宅楼</t>
    <phoneticPr fontId="2" type="noConversion"/>
  </si>
  <si>
    <t>事业部</t>
    <phoneticPr fontId="2" type="noConversion"/>
  </si>
  <si>
    <t>中国新兴保信建设总公司</t>
    <phoneticPr fontId="2" type="noConversion"/>
  </si>
  <si>
    <t>海淀区花园路甲1号</t>
    <phoneticPr fontId="2" type="noConversion"/>
  </si>
  <si>
    <t>韩魁</t>
    <phoneticPr fontId="2" type="noConversion"/>
  </si>
  <si>
    <t>北京嘉世弘商贸有限公司</t>
    <phoneticPr fontId="2" type="noConversion"/>
  </si>
  <si>
    <t>正常进行</t>
    <phoneticPr fontId="2" type="noConversion"/>
  </si>
  <si>
    <t>2013-10-01</t>
  </si>
  <si>
    <t>事业十三部</t>
  </si>
  <si>
    <t>西安中海国际社区</t>
    <phoneticPr fontId="2" type="noConversion"/>
  </si>
  <si>
    <t>中海兴业（西安）有限公司</t>
    <phoneticPr fontId="2" type="noConversion"/>
  </si>
  <si>
    <t>西安市曲江新区</t>
    <phoneticPr fontId="2" type="noConversion"/>
  </si>
  <si>
    <t>曾灵</t>
    <phoneticPr fontId="2" type="noConversion"/>
  </si>
  <si>
    <t>北京华阜家园装饰装修有限公司</t>
    <phoneticPr fontId="2" type="noConversion"/>
  </si>
  <si>
    <t xml:space="preserve">陈明霞 </t>
    <phoneticPr fontId="2" type="noConversion"/>
  </si>
  <si>
    <t>是</t>
    <phoneticPr fontId="2" type="noConversion"/>
  </si>
  <si>
    <t>2013-11-01</t>
  </si>
  <si>
    <t>廊坊幸福园</t>
    <phoneticPr fontId="2" type="noConversion"/>
  </si>
  <si>
    <t>廊坊市京御幸福房地产开发有限公司</t>
    <phoneticPr fontId="2" type="noConversion"/>
  </si>
  <si>
    <t>廊坊市北凤道以北，永兴路以东</t>
    <phoneticPr fontId="2" type="noConversion"/>
  </si>
  <si>
    <t>北京和平简商贸有限公司</t>
    <phoneticPr fontId="2" type="noConversion"/>
  </si>
  <si>
    <t>2013-12-01</t>
  </si>
  <si>
    <t>SY2013-12及增1</t>
    <phoneticPr fontId="2" type="noConversion"/>
  </si>
  <si>
    <t>门头沟天台山居住项目</t>
    <phoneticPr fontId="2" type="noConversion"/>
  </si>
  <si>
    <t>北京市天台山房地产开发有限公司</t>
    <phoneticPr fontId="2" type="noConversion"/>
  </si>
  <si>
    <t>门头沟区新城城子地区21-218地块</t>
    <phoneticPr fontId="2" type="noConversion"/>
  </si>
  <si>
    <t>马冬雷</t>
    <phoneticPr fontId="2" type="noConversion"/>
  </si>
  <si>
    <t>阜外心血管后勤服务中心</t>
    <phoneticPr fontId="2" type="noConversion"/>
  </si>
  <si>
    <t>门头沟区永定镇冯村西里阜外医院西山院区</t>
    <phoneticPr fontId="2" type="noConversion"/>
  </si>
  <si>
    <t>陈建中</t>
    <phoneticPr fontId="2" type="noConversion"/>
  </si>
  <si>
    <t>事业二十部</t>
  </si>
  <si>
    <t>内蒙金隅丽港售楼处</t>
    <phoneticPr fontId="2" type="noConversion"/>
  </si>
  <si>
    <t>内蒙古金隅置地投资有限公司</t>
    <phoneticPr fontId="2" type="noConversion"/>
  </si>
  <si>
    <t>呼和浩特市赛罕区南二环以南</t>
    <phoneticPr fontId="2" type="noConversion"/>
  </si>
  <si>
    <t>袭祥林</t>
    <phoneticPr fontId="2" type="noConversion"/>
  </si>
  <si>
    <t>呼和浩特市龙衣铁艺有限公司</t>
    <phoneticPr fontId="2" type="noConversion"/>
  </si>
  <si>
    <t>袭祥林</t>
    <phoneticPr fontId="2" type="noConversion"/>
  </si>
  <si>
    <t>SY2013-15及增1</t>
    <phoneticPr fontId="2" type="noConversion"/>
  </si>
  <si>
    <t>航空城北区一号门房</t>
    <phoneticPr fontId="2" type="noConversion"/>
  </si>
  <si>
    <t>江西军工思波实业有限公司</t>
    <phoneticPr fontId="2" type="noConversion"/>
  </si>
  <si>
    <t>南昌市高新开发区</t>
    <phoneticPr fontId="2" type="noConversion"/>
  </si>
  <si>
    <t>李平</t>
    <phoneticPr fontId="2" type="noConversion"/>
  </si>
  <si>
    <t>SY2013-16</t>
    <phoneticPr fontId="2" type="noConversion"/>
  </si>
  <si>
    <t>北七家公建住宅</t>
    <phoneticPr fontId="2" type="noConversion"/>
  </si>
  <si>
    <t>北京宁科置业有限责任公司</t>
    <phoneticPr fontId="2" type="noConversion"/>
  </si>
  <si>
    <t>北京市昌平区北七家镇</t>
    <phoneticPr fontId="2" type="noConversion"/>
  </si>
  <si>
    <t>SY2013-17及增1</t>
    <phoneticPr fontId="2" type="noConversion"/>
  </si>
  <si>
    <t>衡水大厦</t>
    <phoneticPr fontId="2" type="noConversion"/>
  </si>
  <si>
    <t>北京衡水饭店</t>
    <phoneticPr fontId="2" type="noConversion"/>
  </si>
  <si>
    <t>北京市丰台区角门北路</t>
    <phoneticPr fontId="2" type="noConversion"/>
  </si>
  <si>
    <t>周成军</t>
    <phoneticPr fontId="2" type="noConversion"/>
  </si>
  <si>
    <t>SY2013-18</t>
    <phoneticPr fontId="2" type="noConversion"/>
  </si>
  <si>
    <t>金隅时代二期</t>
    <phoneticPr fontId="2" type="noConversion"/>
  </si>
  <si>
    <t>内蒙古金隅置业投资有限公司</t>
    <phoneticPr fontId="2" type="noConversion"/>
  </si>
  <si>
    <t>呼和浩特市赛罕区</t>
    <phoneticPr fontId="2" type="noConversion"/>
  </si>
  <si>
    <t>事业二十三部</t>
  </si>
  <si>
    <t>无锡万达文化旅游展示中心</t>
    <phoneticPr fontId="2" type="noConversion"/>
  </si>
  <si>
    <t>无锡万达城投资有限公司</t>
    <phoneticPr fontId="2" type="noConversion"/>
  </si>
  <si>
    <t>无锡</t>
    <phoneticPr fontId="2" type="noConversion"/>
  </si>
  <si>
    <t>张友良</t>
    <phoneticPr fontId="2" type="noConversion"/>
  </si>
  <si>
    <t>北京泽幕工程咨询有限公司</t>
    <phoneticPr fontId="2" type="noConversion"/>
  </si>
  <si>
    <t>金光成</t>
    <phoneticPr fontId="2" type="noConversion"/>
  </si>
  <si>
    <t>卢沟桥小瓦窑村1#回迁房</t>
    <phoneticPr fontId="2" type="noConversion"/>
  </si>
  <si>
    <t>中建-大成建筑有限责任公司</t>
    <phoneticPr fontId="2" type="noConversion"/>
  </si>
  <si>
    <t>北京市丰台区卢沟桥乡小瓦窑村</t>
    <phoneticPr fontId="2" type="noConversion"/>
  </si>
  <si>
    <t>创新国际2#5#6#8#楼铝合金门窗</t>
    <phoneticPr fontId="2" type="noConversion"/>
  </si>
  <si>
    <t>山东创新置业有限公司</t>
    <phoneticPr fontId="2" type="noConversion"/>
  </si>
  <si>
    <t>山东邹平鹤伴二路</t>
    <phoneticPr fontId="2" type="noConversion"/>
  </si>
  <si>
    <t>东莞厚街万达广场</t>
    <phoneticPr fontId="2" type="noConversion"/>
  </si>
  <si>
    <t>东莞厚街万达广场投资有限公司</t>
    <phoneticPr fontId="2" type="noConversion"/>
  </si>
  <si>
    <t>东莞市厚街镇宝屯、珊美社区</t>
    <phoneticPr fontId="2" type="noConversion"/>
  </si>
  <si>
    <t>金光成</t>
    <phoneticPr fontId="2" type="noConversion"/>
  </si>
  <si>
    <t>事业二十二部</t>
  </si>
  <si>
    <t>曲美家具</t>
    <phoneticPr fontId="2" type="noConversion"/>
  </si>
  <si>
    <t>北京曲美馨家商业有限公司</t>
    <phoneticPr fontId="2" type="noConversion"/>
  </si>
  <si>
    <t>北苑路和大屯路交叉口</t>
    <phoneticPr fontId="2" type="noConversion"/>
  </si>
  <si>
    <t>莫琳轶</t>
    <phoneticPr fontId="2" type="noConversion"/>
  </si>
  <si>
    <t>天津市恒铝幕墙装饰工程有限公司</t>
    <phoneticPr fontId="2" type="noConversion"/>
  </si>
  <si>
    <t>莫琳轶</t>
    <phoneticPr fontId="2" type="noConversion"/>
  </si>
  <si>
    <t>南昌万达广场</t>
    <phoneticPr fontId="2" type="noConversion"/>
  </si>
  <si>
    <t>南昌万达城投资有限公司</t>
    <phoneticPr fontId="2" type="noConversion"/>
  </si>
  <si>
    <t>南昌</t>
    <phoneticPr fontId="2" type="noConversion"/>
  </si>
  <si>
    <t>张友良</t>
    <phoneticPr fontId="2" type="noConversion"/>
  </si>
  <si>
    <t>北京泽幕工程咨询有限公司</t>
    <phoneticPr fontId="2" type="noConversion"/>
  </si>
  <si>
    <t>2014-01-01</t>
  </si>
  <si>
    <t>SY2014-01</t>
    <phoneticPr fontId="2" type="noConversion"/>
  </si>
  <si>
    <t>九棵树三标段</t>
    <phoneticPr fontId="2" type="noConversion"/>
  </si>
  <si>
    <t>北京祁连房地产开发有限公司</t>
    <phoneticPr fontId="2" type="noConversion"/>
  </si>
  <si>
    <t>通州区九棵树</t>
    <phoneticPr fontId="2" type="noConversion"/>
  </si>
  <si>
    <t>2014-02-01</t>
  </si>
  <si>
    <t>SY2014-02及增1</t>
    <phoneticPr fontId="2" type="noConversion"/>
  </si>
  <si>
    <t>和泓四季9#外墙装饰及门窗</t>
    <phoneticPr fontId="2" type="noConversion"/>
  </si>
  <si>
    <t>北京东和伟业房地产开发有限公司</t>
  </si>
  <si>
    <t>海淀区常青路</t>
  </si>
  <si>
    <t>2014-03-01</t>
  </si>
  <si>
    <t>事业十九部</t>
  </si>
  <si>
    <t>SY2014-03</t>
    <phoneticPr fontId="2" type="noConversion"/>
  </si>
  <si>
    <t>大同国金中心</t>
    <phoneticPr fontId="2" type="noConversion"/>
  </si>
  <si>
    <t>大同市阳光嘉业房地产开发有限责任公司</t>
    <phoneticPr fontId="2" type="noConversion"/>
  </si>
  <si>
    <t>山西省大同迎宾街</t>
    <phoneticPr fontId="2" type="noConversion"/>
  </si>
  <si>
    <t>魏增坡</t>
    <phoneticPr fontId="2" type="noConversion"/>
  </si>
  <si>
    <t>北京和平泛华装饰有限公司</t>
    <phoneticPr fontId="2" type="noConversion"/>
  </si>
  <si>
    <t>2014-04-01</t>
  </si>
  <si>
    <t>黄石万达广场设计合同</t>
    <phoneticPr fontId="2" type="noConversion"/>
  </si>
  <si>
    <t>2014-05-01</t>
  </si>
  <si>
    <t>天津河东万达广场</t>
    <phoneticPr fontId="2" type="noConversion"/>
  </si>
  <si>
    <t>2014-06-01</t>
  </si>
  <si>
    <t>沈阳太原街万达广场</t>
    <phoneticPr fontId="2" type="noConversion"/>
  </si>
  <si>
    <t>2014-07-01</t>
  </si>
  <si>
    <t>沈阳铁西万达广场</t>
    <phoneticPr fontId="2" type="noConversion"/>
  </si>
  <si>
    <t>SY2014-08及增1</t>
    <phoneticPr fontId="2" type="noConversion"/>
  </si>
  <si>
    <t>重庆巴南万达</t>
    <phoneticPr fontId="2" type="noConversion"/>
  </si>
  <si>
    <t>兰州理工大学设计合同</t>
    <phoneticPr fontId="2" type="noConversion"/>
  </si>
  <si>
    <t>SY2014-10及增1</t>
    <phoneticPr fontId="2" type="noConversion"/>
  </si>
  <si>
    <t>通辽万达广场商业设计</t>
    <phoneticPr fontId="2" type="noConversion"/>
  </si>
  <si>
    <t>SY2014-11</t>
    <phoneticPr fontId="2" type="noConversion"/>
  </si>
  <si>
    <t>东莞厚街万达采光顶</t>
    <phoneticPr fontId="2" type="noConversion"/>
  </si>
  <si>
    <t>北七家TBD云集团项目幕墙工程（标段3）合同</t>
    <phoneticPr fontId="2" type="noConversion"/>
  </si>
  <si>
    <t>南昌A101行政办公楼</t>
    <phoneticPr fontId="2" type="noConversion"/>
  </si>
  <si>
    <t>合肥万达文化旅游城A2地块设计</t>
    <phoneticPr fontId="2" type="noConversion"/>
  </si>
  <si>
    <t>事业十七部</t>
  </si>
  <si>
    <t>中科院新园区8标段（体育中心、礼堂）</t>
    <phoneticPr fontId="2" type="noConversion"/>
  </si>
  <si>
    <t>马龙</t>
    <phoneticPr fontId="2" type="noConversion"/>
  </si>
  <si>
    <t>呼和浩特幕墙安全隐患整改设计合同</t>
    <phoneticPr fontId="2" type="noConversion"/>
  </si>
  <si>
    <t>通辽万达广场销售及回迁物业设计</t>
    <phoneticPr fontId="2" type="noConversion"/>
  </si>
  <si>
    <t>宿州万达广场售楼处</t>
    <phoneticPr fontId="2" type="noConversion"/>
  </si>
  <si>
    <t>桂林万达城展示中心</t>
    <phoneticPr fontId="2" type="noConversion"/>
  </si>
  <si>
    <t>泰安万达广场</t>
    <phoneticPr fontId="2" type="noConversion"/>
  </si>
  <si>
    <t>事业二十九部</t>
  </si>
  <si>
    <t>三利.中和城售楼处及样板间</t>
    <phoneticPr fontId="2" type="noConversion"/>
  </si>
  <si>
    <t>尤长华</t>
    <phoneticPr fontId="2" type="noConversion"/>
  </si>
  <si>
    <t>广州南沙万达广场售楼处</t>
    <phoneticPr fontId="2" type="noConversion"/>
  </si>
  <si>
    <t>苏州吴中万达广场样板段</t>
    <phoneticPr fontId="2" type="noConversion"/>
  </si>
  <si>
    <t>冠京饭店改造</t>
    <phoneticPr fontId="2" type="noConversion"/>
  </si>
  <si>
    <t>南通港闸万达售楼处设计</t>
    <phoneticPr fontId="2" type="noConversion"/>
  </si>
  <si>
    <t>青岛CBD万达安全隐患整改设计</t>
    <phoneticPr fontId="2" type="noConversion"/>
  </si>
  <si>
    <t>乌鲁木齐经开万达广场设计合同</t>
    <phoneticPr fontId="2" type="noConversion"/>
  </si>
  <si>
    <t>事业二十五部</t>
  </si>
  <si>
    <t>中关村e世界大厦玻璃幕墙改造</t>
    <phoneticPr fontId="2" type="noConversion"/>
  </si>
  <si>
    <t>杨立国</t>
    <phoneticPr fontId="2" type="noConversion"/>
  </si>
  <si>
    <t>大连开发区万达广场</t>
    <phoneticPr fontId="2" type="noConversion"/>
  </si>
  <si>
    <t>孙景龙</t>
    <phoneticPr fontId="2" type="noConversion"/>
  </si>
  <si>
    <t>郫县万达广场销售中心外幕墙</t>
    <phoneticPr fontId="2" type="noConversion"/>
  </si>
  <si>
    <t>大兴区黄村镇四-六街安置房</t>
    <phoneticPr fontId="2" type="noConversion"/>
  </si>
  <si>
    <t>西山9号院采光顶改造工程</t>
    <phoneticPr fontId="2" type="noConversion"/>
  </si>
  <si>
    <t>广州增城万达文化旅游展示中心</t>
    <phoneticPr fontId="2" type="noConversion"/>
  </si>
  <si>
    <t>中国科学院大学玉泉营小区改造工程</t>
    <phoneticPr fontId="2" type="noConversion"/>
  </si>
  <si>
    <t>十堰万达售楼处设计</t>
    <phoneticPr fontId="2" type="noConversion"/>
  </si>
  <si>
    <t>SY2014-36</t>
    <phoneticPr fontId="2" type="noConversion"/>
  </si>
  <si>
    <t>岗亭购销合同</t>
    <phoneticPr fontId="2" type="noConversion"/>
  </si>
  <si>
    <t>项目部表,第2行</t>
  </si>
  <si>
    <t>XMF08-02</t>
    <phoneticPr fontId="2" type="noConversion"/>
  </si>
  <si>
    <t>中国国际贸易中心三期</t>
    <phoneticPr fontId="2" type="noConversion"/>
  </si>
  <si>
    <t>项目部</t>
    <phoneticPr fontId="2" type="noConversion"/>
  </si>
  <si>
    <t>中国国际贸易中心股份有限公司</t>
    <phoneticPr fontId="2" type="noConversion"/>
  </si>
  <si>
    <t>北京市</t>
    <phoneticPr fontId="2" type="noConversion"/>
  </si>
  <si>
    <t>柯秋惠</t>
    <phoneticPr fontId="2" type="noConversion"/>
  </si>
  <si>
    <t>北京宇光装饰有限公司</t>
    <phoneticPr fontId="2" type="noConversion"/>
  </si>
  <si>
    <t>否</t>
    <phoneticPr fontId="2" type="noConversion"/>
  </si>
  <si>
    <t>完工</t>
    <phoneticPr fontId="2" type="noConversion"/>
  </si>
  <si>
    <t>项目部表,第3行</t>
  </si>
  <si>
    <t>XMF10-11</t>
    <phoneticPr fontId="2" type="noConversion"/>
  </si>
  <si>
    <t>商品房A01楼等6项、商品房A04楼等5项</t>
    <phoneticPr fontId="2" type="noConversion"/>
  </si>
  <si>
    <t>北京日月房地产开发有限公司</t>
    <phoneticPr fontId="2" type="noConversion"/>
  </si>
  <si>
    <t>魏增坡</t>
    <phoneticPr fontId="2" type="noConversion"/>
  </si>
  <si>
    <t>北京和平泛华装饰有限公司</t>
    <phoneticPr fontId="2" type="noConversion"/>
  </si>
  <si>
    <t>亦庄</t>
    <phoneticPr fontId="2" type="noConversion"/>
  </si>
  <si>
    <t>项目部表,第4行</t>
  </si>
  <si>
    <t>XMF10-40</t>
    <phoneticPr fontId="2" type="noConversion"/>
  </si>
  <si>
    <t>幸福三村</t>
    <phoneticPr fontId="2" type="noConversion"/>
  </si>
  <si>
    <t>北京市第二建筑工程有限责任公司</t>
    <phoneticPr fontId="2" type="noConversion"/>
  </si>
  <si>
    <t>江志真</t>
    <phoneticPr fontId="2" type="noConversion"/>
  </si>
  <si>
    <t>北京美伦美门窗制品有限公司</t>
    <phoneticPr fontId="2" type="noConversion"/>
  </si>
  <si>
    <t>江志真</t>
    <phoneticPr fontId="2" type="noConversion"/>
  </si>
  <si>
    <t>项目部表,第5行</t>
  </si>
  <si>
    <t>中国传媒大学图书馆工程</t>
    <phoneticPr fontId="2" type="noConversion"/>
  </si>
  <si>
    <t>北京市第三建筑工程有限公司</t>
    <phoneticPr fontId="2" type="noConversion"/>
  </si>
  <si>
    <t>李春光</t>
    <phoneticPr fontId="2" type="noConversion"/>
  </si>
  <si>
    <t>北京邦士富生物科技有限公司</t>
    <phoneticPr fontId="2" type="noConversion"/>
  </si>
  <si>
    <t>李玉斌</t>
    <phoneticPr fontId="2" type="noConversion"/>
  </si>
  <si>
    <t>项目部表,第6行</t>
  </si>
  <si>
    <t>XMF11-21</t>
    <phoneticPr fontId="2" type="noConversion"/>
  </si>
  <si>
    <t>永定华庭地下车库出入口外装饰幕墙</t>
    <phoneticPr fontId="2" type="noConversion"/>
  </si>
  <si>
    <t>项目部表,第7行</t>
  </si>
  <si>
    <t>XMF11-48</t>
    <phoneticPr fontId="2" type="noConversion"/>
  </si>
  <si>
    <t>生物技术研发中心二期</t>
    <phoneticPr fontId="2" type="noConversion"/>
  </si>
  <si>
    <t>北京中关村生命科学院发展有限责任公司</t>
    <phoneticPr fontId="2" type="noConversion"/>
  </si>
  <si>
    <t>罗刚</t>
    <phoneticPr fontId="2" type="noConversion"/>
  </si>
  <si>
    <t>北京世纪锦湖装饰工程有限公司</t>
    <phoneticPr fontId="2" type="noConversion"/>
  </si>
  <si>
    <t>罗刚</t>
    <phoneticPr fontId="2" type="noConversion"/>
  </si>
  <si>
    <t>否</t>
    <phoneticPr fontId="2" type="noConversion"/>
  </si>
  <si>
    <t>0139123</t>
    <phoneticPr fontId="2" type="noConversion"/>
  </si>
  <si>
    <t>管庄</t>
    <phoneticPr fontId="2" type="noConversion"/>
  </si>
  <si>
    <t>项目部表,第8行</t>
  </si>
  <si>
    <t>XMF12-01</t>
    <phoneticPr fontId="2" type="noConversion"/>
  </si>
  <si>
    <t>北京邮件综合处理中心</t>
    <phoneticPr fontId="2" type="noConversion"/>
  </si>
  <si>
    <t>项目部</t>
    <phoneticPr fontId="2" type="noConversion"/>
  </si>
  <si>
    <t>中建二局第三建筑工程有限公司</t>
    <phoneticPr fontId="2" type="noConversion"/>
  </si>
  <si>
    <t>马泽永</t>
    <phoneticPr fontId="2" type="noConversion"/>
  </si>
  <si>
    <t>天津市百环工贸有限公司</t>
    <phoneticPr fontId="2" type="noConversion"/>
  </si>
  <si>
    <t>王同利</t>
    <phoneticPr fontId="2" type="noConversion"/>
  </si>
  <si>
    <t>9110694</t>
    <phoneticPr fontId="2" type="noConversion"/>
  </si>
  <si>
    <t>完工</t>
    <phoneticPr fontId="2" type="noConversion"/>
  </si>
  <si>
    <t>亦庄</t>
    <phoneticPr fontId="2" type="noConversion"/>
  </si>
  <si>
    <t>项目部表,第9行</t>
  </si>
  <si>
    <t>门头沟新城冯村（一期）居住项目A西区</t>
    <phoneticPr fontId="2" type="noConversion"/>
  </si>
  <si>
    <t>华润置地发展（北京）有限公司</t>
    <phoneticPr fontId="2" type="noConversion"/>
  </si>
  <si>
    <t>余斌</t>
    <phoneticPr fontId="2" type="noConversion"/>
  </si>
  <si>
    <t>博洋恒润（北京）幕墙装饰工程有限公司</t>
    <phoneticPr fontId="2" type="noConversion"/>
  </si>
  <si>
    <t>0088619</t>
    <phoneticPr fontId="2" type="noConversion"/>
  </si>
  <si>
    <t>项目部表,第10行</t>
  </si>
  <si>
    <t>空军9011工程空地勤综合楼</t>
    <phoneticPr fontId="2" type="noConversion"/>
  </si>
  <si>
    <t>北京城建十六建筑工程有限责任公司</t>
    <phoneticPr fontId="2" type="noConversion"/>
  </si>
  <si>
    <t>赵长亮</t>
    <phoneticPr fontId="2" type="noConversion"/>
  </si>
  <si>
    <t>北京雄博兴业装饰设计有限公司</t>
    <phoneticPr fontId="2" type="noConversion"/>
  </si>
  <si>
    <t>李国兵</t>
    <phoneticPr fontId="2" type="noConversion"/>
  </si>
  <si>
    <t>0097964</t>
    <phoneticPr fontId="2" type="noConversion"/>
  </si>
  <si>
    <t>正和平</t>
    <phoneticPr fontId="2" type="noConversion"/>
  </si>
  <si>
    <t>项目部表,第11行</t>
  </si>
  <si>
    <t>春晖园1#综合楼一段等4项工程</t>
    <phoneticPr fontId="2" type="noConversion"/>
  </si>
  <si>
    <t>北京春晖园投资有限责任公司</t>
    <phoneticPr fontId="2" type="noConversion"/>
  </si>
  <si>
    <t>纪树军</t>
    <phoneticPr fontId="2" type="noConversion"/>
  </si>
  <si>
    <t xml:space="preserve">北京中建润泽建筑工程有限公司 </t>
    <phoneticPr fontId="2" type="noConversion"/>
  </si>
  <si>
    <t>李邦海</t>
    <phoneticPr fontId="2" type="noConversion"/>
  </si>
  <si>
    <t>0097921</t>
    <phoneticPr fontId="2" type="noConversion"/>
  </si>
  <si>
    <t>亦庄</t>
    <phoneticPr fontId="2" type="noConversion"/>
  </si>
  <si>
    <t>项目部表,第12行</t>
  </si>
  <si>
    <t>XMF12-05</t>
    <phoneticPr fontId="2" type="noConversion"/>
  </si>
  <si>
    <t>北京绿地密云国际花都项目</t>
    <phoneticPr fontId="2" type="noConversion"/>
  </si>
  <si>
    <t>北京绿地京宏置业有限公司</t>
    <phoneticPr fontId="2" type="noConversion"/>
  </si>
  <si>
    <t>李金光</t>
    <phoneticPr fontId="2" type="noConversion"/>
  </si>
  <si>
    <t>北京丰益宏业装饰有限公司</t>
    <phoneticPr fontId="2" type="noConversion"/>
  </si>
  <si>
    <t>李金光</t>
    <phoneticPr fontId="2" type="noConversion"/>
  </si>
  <si>
    <t>0091571</t>
    <phoneticPr fontId="2" type="noConversion"/>
  </si>
  <si>
    <t>完工</t>
    <phoneticPr fontId="2" type="noConversion"/>
  </si>
  <si>
    <t>管庄、昌平</t>
    <phoneticPr fontId="2" type="noConversion"/>
  </si>
  <si>
    <t>项目部表,第13行</t>
  </si>
  <si>
    <t>中国原子能科学研究院3号楼</t>
    <phoneticPr fontId="2" type="noConversion"/>
  </si>
  <si>
    <t>北京城乡建设集团有限责任公司</t>
    <phoneticPr fontId="2" type="noConversion"/>
  </si>
  <si>
    <t>北京市</t>
    <phoneticPr fontId="2" type="noConversion"/>
  </si>
  <si>
    <t>曲刚</t>
    <phoneticPr fontId="2" type="noConversion"/>
  </si>
  <si>
    <t>北京京业正通建筑材料有限责任公司</t>
    <phoneticPr fontId="2" type="noConversion"/>
  </si>
  <si>
    <t>王艳</t>
    <phoneticPr fontId="2" type="noConversion"/>
  </si>
  <si>
    <t>0097929</t>
    <phoneticPr fontId="2" type="noConversion"/>
  </si>
  <si>
    <t>管庄</t>
    <phoneticPr fontId="2" type="noConversion"/>
  </si>
  <si>
    <t>项目部表,第14行</t>
  </si>
  <si>
    <t>六郎庄拆迁安置房一标段</t>
    <phoneticPr fontId="2" type="noConversion"/>
  </si>
  <si>
    <t>中国新兴建设开发总公司</t>
    <phoneticPr fontId="2" type="noConversion"/>
  </si>
  <si>
    <t>付仁福</t>
    <phoneticPr fontId="2" type="noConversion"/>
  </si>
  <si>
    <t>北京富恒兴达装饰工程有限公司</t>
    <phoneticPr fontId="2" type="noConversion"/>
  </si>
  <si>
    <t>付仁福</t>
    <phoneticPr fontId="2" type="noConversion"/>
  </si>
  <si>
    <t>5032993</t>
    <phoneticPr fontId="2" type="noConversion"/>
  </si>
  <si>
    <t>项目部表,第15行</t>
  </si>
  <si>
    <t>六郎庄拆迁安置房二标段</t>
    <phoneticPr fontId="2" type="noConversion"/>
  </si>
  <si>
    <t>中国中铁航空港建设集团有限公司北京第八分公司</t>
    <phoneticPr fontId="2" type="noConversion"/>
  </si>
  <si>
    <t>5032982</t>
    <phoneticPr fontId="2" type="noConversion"/>
  </si>
  <si>
    <t>项目部表,第16行</t>
  </si>
  <si>
    <t>京西宾馆东楼群房改建工程</t>
    <phoneticPr fontId="2" type="noConversion"/>
  </si>
  <si>
    <t>上海建工七建集团有限公司</t>
    <phoneticPr fontId="2" type="noConversion"/>
  </si>
  <si>
    <t>马泽永</t>
    <phoneticPr fontId="2" type="noConversion"/>
  </si>
  <si>
    <t>天津市百环工贸有限公司</t>
    <phoneticPr fontId="2" type="noConversion"/>
  </si>
  <si>
    <t>王同利</t>
    <phoneticPr fontId="2" type="noConversion"/>
  </si>
  <si>
    <t>0098166</t>
    <phoneticPr fontId="2" type="noConversion"/>
  </si>
  <si>
    <t>项目部表,第17行</t>
  </si>
  <si>
    <t>爱博精电生产楼等2项工程</t>
    <phoneticPr fontId="2" type="noConversion"/>
  </si>
  <si>
    <t>孙超</t>
    <phoneticPr fontId="2" type="noConversion"/>
  </si>
  <si>
    <t>北京海锐广告有限公司</t>
    <phoneticPr fontId="2" type="noConversion"/>
  </si>
  <si>
    <t>三河</t>
    <phoneticPr fontId="2" type="noConversion"/>
  </si>
  <si>
    <t>项目部表,第18行</t>
  </si>
  <si>
    <t>环能院实验楼幕墙工程</t>
    <phoneticPr fontId="2" type="noConversion"/>
  </si>
  <si>
    <t>中国建筑技术集团有限公司</t>
    <phoneticPr fontId="2" type="noConversion"/>
  </si>
  <si>
    <t>刘乃适</t>
    <phoneticPr fontId="2" type="noConversion"/>
  </si>
  <si>
    <t>北京中适广发智能门有限公司</t>
    <phoneticPr fontId="2" type="noConversion"/>
  </si>
  <si>
    <t>刘乃适</t>
    <phoneticPr fontId="2" type="noConversion"/>
  </si>
  <si>
    <t>0099400</t>
    <phoneticPr fontId="2" type="noConversion"/>
  </si>
  <si>
    <t>项目部表,第19行</t>
  </si>
  <si>
    <t>XMF12-14</t>
    <phoneticPr fontId="2" type="noConversion"/>
  </si>
  <si>
    <t>印刷大楼改造工程</t>
    <phoneticPr fontId="2" type="noConversion"/>
  </si>
  <si>
    <t xml:space="preserve"> 中国印刷总公司</t>
    <phoneticPr fontId="2" type="noConversion"/>
  </si>
  <si>
    <t>北京市</t>
    <phoneticPr fontId="2" type="noConversion"/>
  </si>
  <si>
    <t>0091567</t>
    <phoneticPr fontId="2" type="noConversion"/>
  </si>
  <si>
    <t>正常进行</t>
    <phoneticPr fontId="2" type="noConversion"/>
  </si>
  <si>
    <t>项目部表,第20行</t>
  </si>
  <si>
    <t>大兴黄村地铁枣园路站居住项目</t>
    <phoneticPr fontId="2" type="noConversion"/>
  </si>
  <si>
    <t>项目部</t>
    <phoneticPr fontId="2" type="noConversion"/>
  </si>
  <si>
    <t>北京城建建设工程有限公司</t>
    <phoneticPr fontId="2" type="noConversion"/>
  </si>
  <si>
    <t>季长友</t>
    <phoneticPr fontId="2" type="noConversion"/>
  </si>
  <si>
    <t>北京诚和信装饰装潢有限责任公司</t>
    <phoneticPr fontId="2" type="noConversion"/>
  </si>
  <si>
    <t>鲍云锋</t>
    <phoneticPr fontId="2" type="noConversion"/>
  </si>
  <si>
    <t>0099381</t>
    <phoneticPr fontId="2" type="noConversion"/>
  </si>
  <si>
    <t>大兴</t>
    <phoneticPr fontId="2" type="noConversion"/>
  </si>
  <si>
    <t>项目部表,第21行</t>
  </si>
  <si>
    <t>宇泰佳苑住宅楼</t>
    <phoneticPr fontId="2" type="noConversion"/>
  </si>
  <si>
    <t>河南益通置业有限公司</t>
    <phoneticPr fontId="2" type="noConversion"/>
  </si>
  <si>
    <t>河南郑州</t>
    <phoneticPr fontId="2" type="noConversion"/>
  </si>
  <si>
    <t>熊斌</t>
    <phoneticPr fontId="2" type="noConversion"/>
  </si>
  <si>
    <t>郭大龙</t>
    <phoneticPr fontId="2" type="noConversion"/>
  </si>
  <si>
    <t>异地交税</t>
    <phoneticPr fontId="2" type="noConversion"/>
  </si>
  <si>
    <t>0099396</t>
    <phoneticPr fontId="2" type="noConversion"/>
  </si>
  <si>
    <t>项目部表,第22行</t>
  </si>
  <si>
    <t>大兴黄村新城北区16号项目</t>
    <phoneticPr fontId="2" type="noConversion"/>
  </si>
  <si>
    <t>北京金地融侨房地产开发有限公司</t>
    <phoneticPr fontId="2" type="noConversion"/>
  </si>
  <si>
    <t>杨广</t>
    <phoneticPr fontId="2" type="noConversion"/>
  </si>
  <si>
    <t>北京龙辰塑钢门窗公司</t>
    <phoneticPr fontId="2" type="noConversion"/>
  </si>
  <si>
    <t>杨晓峰</t>
    <phoneticPr fontId="2" type="noConversion"/>
  </si>
  <si>
    <t>5032998</t>
    <phoneticPr fontId="2" type="noConversion"/>
  </si>
  <si>
    <t>项目部表,第23行</t>
  </si>
  <si>
    <t>密云县穆家岭镇华润希望小镇展示</t>
    <phoneticPr fontId="2" type="noConversion"/>
  </si>
  <si>
    <t>北京华润希望发展有限公司</t>
    <phoneticPr fontId="2" type="noConversion"/>
  </si>
  <si>
    <t>余斌</t>
    <phoneticPr fontId="2" type="noConversion"/>
  </si>
  <si>
    <t>博洋恒润（北京）幕墙装饰工程有限公司</t>
    <phoneticPr fontId="2" type="noConversion"/>
  </si>
  <si>
    <t>余斌</t>
    <phoneticPr fontId="2" type="noConversion"/>
  </si>
  <si>
    <t>9110683</t>
    <phoneticPr fontId="2" type="noConversion"/>
  </si>
  <si>
    <t>项目部表,第24行</t>
  </si>
  <si>
    <t>京昌高科技信息产业园2#厂房</t>
    <phoneticPr fontId="2" type="noConversion"/>
  </si>
  <si>
    <t>北京市昌平一建建筑有限责任公司第二分公司</t>
    <phoneticPr fontId="2" type="noConversion"/>
  </si>
  <si>
    <t>9110684</t>
    <phoneticPr fontId="2" type="noConversion"/>
  </si>
  <si>
    <t>项目部表,第25行</t>
  </si>
  <si>
    <t>总参气象水文局经济适用住房工程</t>
    <phoneticPr fontId="2" type="noConversion"/>
  </si>
  <si>
    <t>北京城建七建设工程有限公司</t>
    <phoneticPr fontId="2" type="noConversion"/>
  </si>
  <si>
    <t>吴荣</t>
    <phoneticPr fontId="2" type="noConversion"/>
  </si>
  <si>
    <t>北京佳盛杰瑞商贸有限公司</t>
    <phoneticPr fontId="2" type="noConversion"/>
  </si>
  <si>
    <t>季福成</t>
    <phoneticPr fontId="2" type="noConversion"/>
  </si>
  <si>
    <t>0091576</t>
    <phoneticPr fontId="2" type="noConversion"/>
  </si>
  <si>
    <t>项目部表,第26行</t>
  </si>
  <si>
    <t>天津红星国际广场2#地酒店式公寓</t>
    <phoneticPr fontId="2" type="noConversion"/>
  </si>
  <si>
    <t>天津市华运商贸物业有限公司</t>
    <phoneticPr fontId="2" type="noConversion"/>
  </si>
  <si>
    <t>天津市</t>
    <phoneticPr fontId="2" type="noConversion"/>
  </si>
  <si>
    <t>闫禄章</t>
    <phoneticPr fontId="2" type="noConversion"/>
  </si>
  <si>
    <t>北京奥维尔建筑材料销售有限公司</t>
    <phoneticPr fontId="2" type="noConversion"/>
  </si>
  <si>
    <t>项目部表,第27行</t>
  </si>
  <si>
    <t>老城厢12号地块</t>
    <phoneticPr fontId="2" type="noConversion"/>
  </si>
  <si>
    <t>中建一局集团建设发展有限公司/天津中新名仕房地产开发有限公司</t>
    <phoneticPr fontId="2" type="noConversion"/>
  </si>
  <si>
    <t>丁有智</t>
    <phoneticPr fontId="2" type="noConversion"/>
  </si>
  <si>
    <t>沈阳市渤海保温门窗工程有限公司</t>
    <phoneticPr fontId="2" type="noConversion"/>
  </si>
  <si>
    <t>项目部表,第28行</t>
  </si>
  <si>
    <t>现代农业生物研发平台工程</t>
    <phoneticPr fontId="2" type="noConversion"/>
  </si>
  <si>
    <t>中铁建设集团有限公司</t>
    <phoneticPr fontId="2" type="noConversion"/>
  </si>
  <si>
    <t>杨如林</t>
    <phoneticPr fontId="2" type="noConversion"/>
  </si>
  <si>
    <t>北京和平芙蓉商贸有限公司</t>
    <phoneticPr fontId="2" type="noConversion"/>
  </si>
  <si>
    <t>董宴春</t>
    <phoneticPr fontId="2" type="noConversion"/>
  </si>
  <si>
    <t>5032991</t>
    <phoneticPr fontId="2" type="noConversion"/>
  </si>
  <si>
    <t>项目部表,第29行</t>
  </si>
  <si>
    <t>厂房一等4项铝合金门窗工程</t>
    <phoneticPr fontId="2" type="noConversion"/>
  </si>
  <si>
    <t>格兰达投资管理（北京）有限公司</t>
    <phoneticPr fontId="2" type="noConversion"/>
  </si>
  <si>
    <t>5033000</t>
    <phoneticPr fontId="2" type="noConversion"/>
  </si>
  <si>
    <t>项目部表,第30行</t>
  </si>
  <si>
    <t>爱迪学校报告厅</t>
    <phoneticPr fontId="2" type="noConversion"/>
  </si>
  <si>
    <t>北京爱迪学校</t>
    <phoneticPr fontId="2" type="noConversion"/>
  </si>
  <si>
    <t>李春光</t>
    <phoneticPr fontId="2" type="noConversion"/>
  </si>
  <si>
    <t>北京邦士富生物科技有限公司</t>
    <phoneticPr fontId="2" type="noConversion"/>
  </si>
  <si>
    <t>李玉斌</t>
    <phoneticPr fontId="2" type="noConversion"/>
  </si>
  <si>
    <t>5032989</t>
    <phoneticPr fontId="2" type="noConversion"/>
  </si>
  <si>
    <t>项目部表,第31行</t>
  </si>
  <si>
    <t>中国劳动关系学院教学楼修缮工程</t>
    <phoneticPr fontId="2" type="noConversion"/>
  </si>
  <si>
    <t>中国劳动关系学院</t>
    <phoneticPr fontId="2" type="noConversion"/>
  </si>
  <si>
    <t>0099942</t>
    <phoneticPr fontId="2" type="noConversion"/>
  </si>
  <si>
    <t>项目部表,第32行</t>
  </si>
  <si>
    <t>密云县穆家岭镇华润希望小镇乡村酒店</t>
    <phoneticPr fontId="2" type="noConversion"/>
  </si>
  <si>
    <t>0099956</t>
    <phoneticPr fontId="2" type="noConversion"/>
  </si>
  <si>
    <t>项目部表,第33行</t>
  </si>
  <si>
    <t>北京春晖园投资有限责任公司</t>
    <phoneticPr fontId="2" type="noConversion"/>
  </si>
  <si>
    <t>纪树军</t>
    <phoneticPr fontId="2" type="noConversion"/>
  </si>
  <si>
    <t xml:space="preserve">北京中建润泽建筑工程有限公司 </t>
    <phoneticPr fontId="2" type="noConversion"/>
  </si>
  <si>
    <t>李邦海</t>
    <phoneticPr fontId="2" type="noConversion"/>
  </si>
  <si>
    <t>0097769</t>
    <phoneticPr fontId="2" type="noConversion"/>
  </si>
  <si>
    <t>项目部表,第34行</t>
  </si>
  <si>
    <t>天津国际城诗景颂苑二标段12#-16#</t>
    <phoneticPr fontId="2" type="noConversion"/>
  </si>
  <si>
    <t>中铁十三局集团有限公司</t>
    <phoneticPr fontId="2" type="noConversion"/>
  </si>
  <si>
    <t>于洋</t>
    <phoneticPr fontId="2" type="noConversion"/>
  </si>
  <si>
    <t>北京城建长城伟达装饰公司</t>
    <phoneticPr fontId="2" type="noConversion"/>
  </si>
  <si>
    <t>孙国强</t>
    <phoneticPr fontId="2" type="noConversion"/>
  </si>
  <si>
    <t>项目部表,第35行</t>
  </si>
  <si>
    <t>2011工程</t>
    <phoneticPr fontId="2" type="noConversion"/>
  </si>
  <si>
    <t>中建一局集团第二建筑有限公司</t>
    <phoneticPr fontId="2" type="noConversion"/>
  </si>
  <si>
    <t>霍林宝</t>
    <phoneticPr fontId="2" type="noConversion"/>
  </si>
  <si>
    <t>中国人民解放军61159部队后勤部</t>
    <phoneticPr fontId="2" type="noConversion"/>
  </si>
  <si>
    <t>霍林宝</t>
    <phoneticPr fontId="2" type="noConversion"/>
  </si>
  <si>
    <t>0097761</t>
    <phoneticPr fontId="2" type="noConversion"/>
  </si>
  <si>
    <t>项目部表,第36行</t>
  </si>
  <si>
    <t>宝鼎商场</t>
    <phoneticPr fontId="2" type="noConversion"/>
  </si>
  <si>
    <t>华美财务（北京）科技有限公司</t>
    <phoneticPr fontId="2" type="noConversion"/>
  </si>
  <si>
    <t>王晨</t>
    <phoneticPr fontId="2" type="noConversion"/>
  </si>
  <si>
    <t>北京润勤洲际建材有限责任公司</t>
    <phoneticPr fontId="2" type="noConversion"/>
  </si>
  <si>
    <t xml:space="preserve">杨晓彬 </t>
    <phoneticPr fontId="2" type="noConversion"/>
  </si>
  <si>
    <t>0099952</t>
    <phoneticPr fontId="2" type="noConversion"/>
  </si>
  <si>
    <t>项目部表,第37行</t>
  </si>
  <si>
    <t>朝阳区东坝驹子房农民安置房</t>
    <phoneticPr fontId="2" type="noConversion"/>
  </si>
  <si>
    <t>北京市朝阳城市建设综合开发公司</t>
    <phoneticPr fontId="2" type="noConversion"/>
  </si>
  <si>
    <t>0097768</t>
    <phoneticPr fontId="2" type="noConversion"/>
  </si>
  <si>
    <t>项目部表,第38行</t>
  </si>
  <si>
    <t>小屯新村B03、B06回迁楼及B04配套</t>
    <phoneticPr fontId="2" type="noConversion"/>
  </si>
  <si>
    <t>北京绿林双泉房地产开发有限公司天鸿美域项目分公司</t>
    <phoneticPr fontId="2" type="noConversion"/>
  </si>
  <si>
    <t>江志真</t>
    <phoneticPr fontId="2" type="noConversion"/>
  </si>
  <si>
    <t>北京美伦美门窗制品有限公司</t>
    <phoneticPr fontId="2" type="noConversion"/>
  </si>
  <si>
    <t>0097779</t>
    <phoneticPr fontId="2" type="noConversion"/>
  </si>
  <si>
    <t>项目部表,第39行</t>
  </si>
  <si>
    <t>衙门口居住及公建项目</t>
    <phoneticPr fontId="2" type="noConversion"/>
  </si>
  <si>
    <t>北京天石基业房地产开发有限公司</t>
    <phoneticPr fontId="2" type="noConversion"/>
  </si>
  <si>
    <t>李智勇</t>
    <phoneticPr fontId="2" type="noConversion"/>
  </si>
  <si>
    <t>北京通联门窗有限公司</t>
    <phoneticPr fontId="2" type="noConversion"/>
  </si>
  <si>
    <t>吕松岩</t>
    <phoneticPr fontId="2" type="noConversion"/>
  </si>
  <si>
    <t>3166153</t>
    <phoneticPr fontId="2" type="noConversion"/>
  </si>
  <si>
    <t>项目部表,第40行</t>
  </si>
  <si>
    <t>西北旺六里屯农民定置点定向房</t>
    <phoneticPr fontId="2" type="noConversion"/>
  </si>
  <si>
    <t>中建一局集团第三建筑有限公司/中航天建设工程有限公司/北京昊海建设有限公司</t>
    <phoneticPr fontId="2" type="noConversion"/>
  </si>
  <si>
    <t>王军</t>
    <phoneticPr fontId="2" type="noConversion"/>
  </si>
  <si>
    <t>北京军建凯达幕墙装饰有限公司</t>
    <phoneticPr fontId="2" type="noConversion"/>
  </si>
  <si>
    <t>秦存国</t>
    <phoneticPr fontId="2" type="noConversion"/>
  </si>
  <si>
    <t>0097765</t>
    <phoneticPr fontId="2" type="noConversion"/>
  </si>
  <si>
    <t>项目部表,第41行</t>
  </si>
  <si>
    <t>XMF12-46</t>
    <phoneticPr fontId="2" type="noConversion"/>
  </si>
  <si>
    <t>空军装备研究院防控所</t>
    <phoneticPr fontId="2" type="noConversion"/>
  </si>
  <si>
    <t>北京朝林建设集团有限公司第四分公司</t>
    <phoneticPr fontId="2" type="noConversion"/>
  </si>
  <si>
    <t>钱金花</t>
    <phoneticPr fontId="2" type="noConversion"/>
  </si>
  <si>
    <t>北京笠融建筑工程有限公司</t>
    <phoneticPr fontId="2" type="noConversion"/>
  </si>
  <si>
    <t>钱金花</t>
    <phoneticPr fontId="2" type="noConversion"/>
  </si>
  <si>
    <t>3088688</t>
    <phoneticPr fontId="2" type="noConversion"/>
  </si>
  <si>
    <t>项目部表,第42行</t>
  </si>
  <si>
    <t>D型公寓D4一单元铝合金窗</t>
    <phoneticPr fontId="2" type="noConversion"/>
  </si>
  <si>
    <t>北京春晖园文化娱乐有限责任公司</t>
    <phoneticPr fontId="2" type="noConversion"/>
  </si>
  <si>
    <t>纪树军</t>
    <phoneticPr fontId="2" type="noConversion"/>
  </si>
  <si>
    <t>3166142</t>
    <phoneticPr fontId="2" type="noConversion"/>
  </si>
  <si>
    <t>管庄</t>
    <phoneticPr fontId="2" type="noConversion"/>
  </si>
  <si>
    <t>项目部表,第43行</t>
  </si>
  <si>
    <t>总政318信息化业务楼</t>
    <phoneticPr fontId="2" type="noConversion"/>
  </si>
  <si>
    <t>中国人民解放军总政治部机关营建办公室</t>
    <phoneticPr fontId="2" type="noConversion"/>
  </si>
  <si>
    <t>李玉朝</t>
    <phoneticPr fontId="2" type="noConversion"/>
  </si>
  <si>
    <t>北京若愚装饰有限公司</t>
    <phoneticPr fontId="2" type="noConversion"/>
  </si>
  <si>
    <t>杨书芳</t>
    <phoneticPr fontId="2" type="noConversion"/>
  </si>
  <si>
    <t>3088687</t>
    <phoneticPr fontId="2" type="noConversion"/>
  </si>
  <si>
    <t>昌平</t>
    <phoneticPr fontId="2" type="noConversion"/>
  </si>
  <si>
    <t>项目部表,第44行</t>
  </si>
  <si>
    <t>岳各庄居住东区1#地128公建</t>
    <phoneticPr fontId="2" type="noConversion"/>
  </si>
  <si>
    <t>0019537</t>
    <phoneticPr fontId="2" type="noConversion"/>
  </si>
  <si>
    <t>项目部表,第45行</t>
  </si>
  <si>
    <t>XMF13-01</t>
    <phoneticPr fontId="2" type="noConversion"/>
  </si>
  <si>
    <t>北池子大街35号院翻改建</t>
    <phoneticPr fontId="2" type="noConversion"/>
  </si>
  <si>
    <t>北京城建亚泰建设集团有限公司</t>
    <phoneticPr fontId="2" type="noConversion"/>
  </si>
  <si>
    <t>中国人民解放军61159部队后勤部</t>
    <phoneticPr fontId="2" type="noConversion"/>
  </si>
  <si>
    <t>0007311</t>
    <phoneticPr fontId="2" type="noConversion"/>
  </si>
  <si>
    <t>项目部表,第46行</t>
  </si>
  <si>
    <t>XMF13-04</t>
    <phoneticPr fontId="2" type="noConversion"/>
  </si>
  <si>
    <t>61886部队食堂及文体活动用房</t>
    <phoneticPr fontId="2" type="noConversion"/>
  </si>
  <si>
    <t>中国人名解放军61886部队后勤部</t>
    <phoneticPr fontId="2" type="noConversion"/>
  </si>
  <si>
    <t>中国人民解放军61886部队后勤部</t>
    <phoneticPr fontId="2" type="noConversion"/>
  </si>
  <si>
    <t>0007312</t>
    <phoneticPr fontId="2" type="noConversion"/>
  </si>
  <si>
    <t>项目部表,第47行</t>
  </si>
  <si>
    <t>平谷金海湖小镇定向安置房</t>
    <phoneticPr fontId="2" type="noConversion"/>
  </si>
  <si>
    <t>首创嘉铭新城镇投资发展有限公司</t>
    <phoneticPr fontId="2" type="noConversion"/>
  </si>
  <si>
    <t>王娜</t>
    <phoneticPr fontId="2" type="noConversion"/>
  </si>
  <si>
    <t>北京嘉世弘商贸有限公司</t>
    <phoneticPr fontId="2" type="noConversion"/>
  </si>
  <si>
    <t>韩魁</t>
    <phoneticPr fontId="2" type="noConversion"/>
  </si>
  <si>
    <t>0007306</t>
    <phoneticPr fontId="2" type="noConversion"/>
  </si>
  <si>
    <t>项目部表,第48行</t>
  </si>
  <si>
    <t>广安门铁路住宅小区工程</t>
    <phoneticPr fontId="2" type="noConversion"/>
  </si>
  <si>
    <t>中铁建工集团有限公司</t>
    <phoneticPr fontId="2" type="noConversion"/>
  </si>
  <si>
    <t>0027651</t>
    <phoneticPr fontId="2" type="noConversion"/>
  </si>
  <si>
    <t>项目部表,第49行</t>
  </si>
  <si>
    <t>国隆府综合楼玻璃幕墙工程</t>
    <phoneticPr fontId="2" type="noConversion"/>
  </si>
  <si>
    <t>河北国隆房地产开发有限公司</t>
    <phoneticPr fontId="2" type="noConversion"/>
  </si>
  <si>
    <t>河北省</t>
    <phoneticPr fontId="2" type="noConversion"/>
  </si>
  <si>
    <t>王胜来</t>
    <phoneticPr fontId="2" type="noConversion"/>
  </si>
  <si>
    <t>廊坊祖寺千首门窗公司</t>
    <phoneticPr fontId="2" type="noConversion"/>
  </si>
  <si>
    <t>9061363</t>
    <phoneticPr fontId="2" type="noConversion"/>
  </si>
  <si>
    <t>项目部表,第50行</t>
  </si>
  <si>
    <t>4#生物研发楼等三项</t>
    <phoneticPr fontId="2" type="noConversion"/>
  </si>
  <si>
    <t>北京中关村生命科学园发展有限责任公司</t>
    <phoneticPr fontId="2" type="noConversion"/>
  </si>
  <si>
    <t>0027654</t>
    <phoneticPr fontId="2" type="noConversion"/>
  </si>
  <si>
    <t>项目部表,第51行</t>
  </si>
  <si>
    <t>广安门铁路住宅小区B段</t>
    <phoneticPr fontId="2" type="noConversion"/>
  </si>
  <si>
    <t>中铁电气化局集团北京建筑工程有限公司广安门项目</t>
    <phoneticPr fontId="2" type="noConversion"/>
  </si>
  <si>
    <t>0027652</t>
    <phoneticPr fontId="2" type="noConversion"/>
  </si>
  <si>
    <t>项目部表,第52行</t>
  </si>
  <si>
    <t>广安门铁路住宅小区A段</t>
    <phoneticPr fontId="2" type="noConversion"/>
  </si>
  <si>
    <t>中扶建设有限责任公司</t>
    <phoneticPr fontId="2" type="noConversion"/>
  </si>
  <si>
    <t>0027653</t>
    <phoneticPr fontId="2" type="noConversion"/>
  </si>
  <si>
    <t>项目部表,第53行</t>
  </si>
  <si>
    <t>来广营B2地块项目</t>
    <phoneticPr fontId="2" type="noConversion"/>
  </si>
  <si>
    <t>北京方兴融创房地产开发有限公司</t>
    <phoneticPr fontId="2" type="noConversion"/>
  </si>
  <si>
    <t>姚志刚</t>
    <phoneticPr fontId="2" type="noConversion"/>
  </si>
  <si>
    <t>中盛泰和（北京）进出口有限公司</t>
    <phoneticPr fontId="2" type="noConversion"/>
  </si>
  <si>
    <t>孙辉</t>
    <phoneticPr fontId="2" type="noConversion"/>
  </si>
  <si>
    <t>0027643</t>
    <phoneticPr fontId="2" type="noConversion"/>
  </si>
  <si>
    <t>项目部表,第54行</t>
  </si>
  <si>
    <t>新华联雅园一期工程</t>
    <phoneticPr fontId="2" type="noConversion"/>
  </si>
  <si>
    <t>内蒙古新华联置业有限公司</t>
    <phoneticPr fontId="2" type="noConversion"/>
  </si>
  <si>
    <t>内蒙古</t>
    <phoneticPr fontId="2" type="noConversion"/>
  </si>
  <si>
    <t>金生文</t>
    <phoneticPr fontId="2" type="noConversion"/>
  </si>
  <si>
    <t>北京长风幕墙装饰有限公司</t>
    <phoneticPr fontId="2" type="noConversion"/>
  </si>
  <si>
    <t>李猛</t>
    <phoneticPr fontId="2" type="noConversion"/>
  </si>
  <si>
    <t>0027646</t>
    <phoneticPr fontId="2" type="noConversion"/>
  </si>
  <si>
    <t>项目部表,第55行</t>
  </si>
  <si>
    <t>北京国际文化贸易企业集散中心</t>
    <phoneticPr fontId="2" type="noConversion"/>
  </si>
  <si>
    <t>北京歌华美创空港置业有限公司</t>
    <phoneticPr fontId="2" type="noConversion"/>
  </si>
  <si>
    <t>0026991</t>
    <phoneticPr fontId="2" type="noConversion"/>
  </si>
  <si>
    <t>管庄</t>
    <phoneticPr fontId="2" type="noConversion"/>
  </si>
  <si>
    <t>项目部表,第56行</t>
  </si>
  <si>
    <t>京昌高科技信息产业园3#厂房</t>
    <phoneticPr fontId="2" type="noConversion"/>
  </si>
  <si>
    <t>项目部</t>
    <phoneticPr fontId="2" type="noConversion"/>
  </si>
  <si>
    <t>北京市昌平一建建筑有限责任公司</t>
    <phoneticPr fontId="2" type="noConversion"/>
  </si>
  <si>
    <t>余斌</t>
    <phoneticPr fontId="2" type="noConversion"/>
  </si>
  <si>
    <t>博洋恒润（北京）幕墙装饰工程有限公司</t>
    <phoneticPr fontId="2" type="noConversion"/>
  </si>
  <si>
    <t>否</t>
    <phoneticPr fontId="2" type="noConversion"/>
  </si>
  <si>
    <t>0026999</t>
    <phoneticPr fontId="2" type="noConversion"/>
  </si>
  <si>
    <t>项目部表,第57行</t>
  </si>
  <si>
    <t>61599部队清河经济适用住房工程</t>
    <phoneticPr fontId="2" type="noConversion"/>
  </si>
  <si>
    <t>中建交通建设集团有限公司</t>
    <phoneticPr fontId="2" type="noConversion"/>
  </si>
  <si>
    <t>吴荣</t>
    <phoneticPr fontId="2" type="noConversion"/>
  </si>
  <si>
    <t>北京佳盛杰瑞商贸有限公司</t>
    <phoneticPr fontId="2" type="noConversion"/>
  </si>
  <si>
    <t>季福成</t>
    <phoneticPr fontId="2" type="noConversion"/>
  </si>
  <si>
    <t>0027658</t>
    <phoneticPr fontId="2" type="noConversion"/>
  </si>
  <si>
    <t>完工</t>
    <phoneticPr fontId="2" type="noConversion"/>
  </si>
  <si>
    <t>管庄</t>
    <phoneticPr fontId="2" type="noConversion"/>
  </si>
  <si>
    <t>项目部表,第58行</t>
  </si>
  <si>
    <t>解放军总医院研究大楼改造</t>
    <phoneticPr fontId="2" type="noConversion"/>
  </si>
  <si>
    <t>项目部</t>
    <phoneticPr fontId="2" type="noConversion"/>
  </si>
  <si>
    <t>中国人民解放军总医院第一附属医院</t>
    <phoneticPr fontId="2" type="noConversion"/>
  </si>
  <si>
    <t>付仁福</t>
    <phoneticPr fontId="2" type="noConversion"/>
  </si>
  <si>
    <t>北京富恒兴达装饰工程有限公司</t>
    <phoneticPr fontId="2" type="noConversion"/>
  </si>
  <si>
    <t>付仁福</t>
    <phoneticPr fontId="2" type="noConversion"/>
  </si>
  <si>
    <t>0027659</t>
    <phoneticPr fontId="2" type="noConversion"/>
  </si>
  <si>
    <t>项目部表,第59行</t>
  </si>
  <si>
    <t>XMF13-17</t>
    <phoneticPr fontId="2" type="noConversion"/>
  </si>
  <si>
    <t>朝阳区东坝驹子房农民安置房F区</t>
    <phoneticPr fontId="2" type="noConversion"/>
  </si>
  <si>
    <t>北京市朝阳城市建设综合开发公司</t>
    <phoneticPr fontId="2" type="noConversion"/>
  </si>
  <si>
    <t>0007301</t>
    <phoneticPr fontId="2" type="noConversion"/>
  </si>
  <si>
    <t>项目部表,第60行</t>
  </si>
  <si>
    <t>华北运转中心项目仓储物流及附属设施</t>
    <phoneticPr fontId="2" type="noConversion"/>
  </si>
  <si>
    <t>北京京都圆通速递有限公司</t>
    <phoneticPr fontId="2" type="noConversion"/>
  </si>
  <si>
    <t>王治国</t>
    <phoneticPr fontId="2" type="noConversion"/>
  </si>
  <si>
    <t>北京和平银泰装饰有限公司</t>
    <phoneticPr fontId="2" type="noConversion"/>
  </si>
  <si>
    <t>王松琴</t>
    <phoneticPr fontId="2" type="noConversion"/>
  </si>
  <si>
    <t>否</t>
    <phoneticPr fontId="2" type="noConversion"/>
  </si>
  <si>
    <t>0026984</t>
    <phoneticPr fontId="2" type="noConversion"/>
  </si>
  <si>
    <t>完工</t>
    <phoneticPr fontId="2" type="noConversion"/>
  </si>
  <si>
    <t>亦庄</t>
    <phoneticPr fontId="2" type="noConversion"/>
  </si>
  <si>
    <t>项目部表,第61行</t>
  </si>
  <si>
    <t>西郊机场西区12#住宅楼工程</t>
    <phoneticPr fontId="2" type="noConversion"/>
  </si>
  <si>
    <t>项目部</t>
    <phoneticPr fontId="2" type="noConversion"/>
  </si>
  <si>
    <t>空军第一建筑安装工程总队</t>
    <phoneticPr fontId="2" type="noConversion"/>
  </si>
  <si>
    <t>北京市</t>
    <phoneticPr fontId="2" type="noConversion"/>
  </si>
  <si>
    <t>赵长亮</t>
    <phoneticPr fontId="2" type="noConversion"/>
  </si>
  <si>
    <t>北京雄博兴业装饰设计有限公司</t>
    <phoneticPr fontId="2" type="noConversion"/>
  </si>
  <si>
    <t>李国兵</t>
    <phoneticPr fontId="2" type="noConversion"/>
  </si>
  <si>
    <t>0026982</t>
    <phoneticPr fontId="2" type="noConversion"/>
  </si>
  <si>
    <t>项目部表,第62行</t>
  </si>
  <si>
    <t>厦门高崎国际机场T4航站楼</t>
    <phoneticPr fontId="2" type="noConversion"/>
  </si>
  <si>
    <t>森特士兴集团股份有限公司</t>
    <phoneticPr fontId="2" type="noConversion"/>
  </si>
  <si>
    <t>福建厦门</t>
    <phoneticPr fontId="2" type="noConversion"/>
  </si>
  <si>
    <t>杨如林</t>
    <phoneticPr fontId="2" type="noConversion"/>
  </si>
  <si>
    <t>北京和平芙蓉商贸有限公司</t>
    <phoneticPr fontId="2" type="noConversion"/>
  </si>
  <si>
    <t>0007313</t>
    <phoneticPr fontId="2" type="noConversion"/>
  </si>
  <si>
    <t>完工</t>
    <phoneticPr fontId="2" type="noConversion"/>
  </si>
  <si>
    <t>项目部表,第63行</t>
  </si>
  <si>
    <t>西郊机场西区10#住宅楼工程</t>
    <phoneticPr fontId="2" type="noConversion"/>
  </si>
  <si>
    <t>95959部队</t>
    <phoneticPr fontId="2" type="noConversion"/>
  </si>
  <si>
    <t>赵长亮</t>
    <phoneticPr fontId="2" type="noConversion"/>
  </si>
  <si>
    <t>0007303</t>
    <phoneticPr fontId="2" type="noConversion"/>
  </si>
  <si>
    <t>京顺</t>
    <phoneticPr fontId="2" type="noConversion"/>
  </si>
  <si>
    <t>项目部表,第64行</t>
  </si>
  <si>
    <t>红星国际广场3#地地块</t>
    <phoneticPr fontId="2" type="noConversion"/>
  </si>
  <si>
    <t>天津市</t>
    <phoneticPr fontId="2" type="noConversion"/>
  </si>
  <si>
    <t>闫禄章</t>
    <phoneticPr fontId="2" type="noConversion"/>
  </si>
  <si>
    <t>异地交税</t>
    <phoneticPr fontId="2" type="noConversion"/>
  </si>
  <si>
    <t>完工</t>
    <phoneticPr fontId="2" type="noConversion"/>
  </si>
  <si>
    <t>项目部表,第65行</t>
  </si>
  <si>
    <t>衙门口居住公建A1地块</t>
    <phoneticPr fontId="2" type="noConversion"/>
  </si>
  <si>
    <t>北京天石基业房地产开发有限公司</t>
    <phoneticPr fontId="2" type="noConversion"/>
  </si>
  <si>
    <t>北京通联门窗有限公司</t>
    <phoneticPr fontId="2" type="noConversion"/>
  </si>
  <si>
    <t>0026998</t>
    <phoneticPr fontId="2" type="noConversion"/>
  </si>
  <si>
    <t>项目部表,第66行</t>
  </si>
  <si>
    <t>朝阳区十八里店周庄三期</t>
    <phoneticPr fontId="2" type="noConversion"/>
  </si>
  <si>
    <t>北京市朝阳田华建筑集团公司/北京大洋房地产开发有限够告诉你</t>
    <phoneticPr fontId="2" type="noConversion"/>
  </si>
  <si>
    <t>柯善波</t>
    <phoneticPr fontId="2" type="noConversion"/>
  </si>
  <si>
    <t>北京福宏杰幕墙门窗技术有限公司</t>
    <phoneticPr fontId="2" type="noConversion"/>
  </si>
  <si>
    <t>否</t>
    <phoneticPr fontId="2" type="noConversion"/>
  </si>
  <si>
    <t>0007305</t>
    <phoneticPr fontId="2" type="noConversion"/>
  </si>
  <si>
    <t>项目部表,第67行</t>
  </si>
  <si>
    <t>北京市平谷检察院办案和专业技术房</t>
    <phoneticPr fontId="2" type="noConversion"/>
  </si>
  <si>
    <t>北京诚通新新建设有限公司</t>
    <phoneticPr fontId="2" type="noConversion"/>
  </si>
  <si>
    <t>0061064</t>
    <phoneticPr fontId="2" type="noConversion"/>
  </si>
  <si>
    <t>三河</t>
    <phoneticPr fontId="2" type="noConversion"/>
  </si>
  <si>
    <t>项目部表,第68行</t>
  </si>
  <si>
    <t>铁科院永丰基地扩建项目</t>
    <phoneticPr fontId="2" type="noConversion"/>
  </si>
  <si>
    <t>中铁电气化局集团北京建筑工程有限公司</t>
    <phoneticPr fontId="2" type="noConversion"/>
  </si>
  <si>
    <t>何金才</t>
    <phoneticPr fontId="2" type="noConversion"/>
  </si>
  <si>
    <t>徐水县鸿飞橡塑制品有限公司</t>
    <phoneticPr fontId="2" type="noConversion"/>
  </si>
  <si>
    <t>周俊才</t>
    <phoneticPr fontId="2" type="noConversion"/>
  </si>
  <si>
    <t>0007318</t>
    <phoneticPr fontId="2" type="noConversion"/>
  </si>
  <si>
    <t>管庄</t>
    <phoneticPr fontId="2" type="noConversion"/>
  </si>
  <si>
    <t>项目部表,第69行</t>
  </si>
  <si>
    <t>XMF13-27</t>
    <phoneticPr fontId="2" type="noConversion"/>
  </si>
  <si>
    <t>国贸世纪公寓样板间外墙工程</t>
    <phoneticPr fontId="2" type="noConversion"/>
  </si>
  <si>
    <t>项目部</t>
    <phoneticPr fontId="2" type="noConversion"/>
  </si>
  <si>
    <t>中国国际贸易中心有限公司</t>
    <phoneticPr fontId="2" type="noConversion"/>
  </si>
  <si>
    <t>北京市</t>
    <phoneticPr fontId="2" type="noConversion"/>
  </si>
  <si>
    <t>柯秋惠</t>
    <phoneticPr fontId="2" type="noConversion"/>
  </si>
  <si>
    <t>北京宇光装饰有限公司</t>
    <phoneticPr fontId="2" type="noConversion"/>
  </si>
  <si>
    <t>项目部表,第70行</t>
  </si>
  <si>
    <t>利生大厦综合办公楼项目外立面</t>
    <phoneticPr fontId="2" type="noConversion"/>
  </si>
  <si>
    <t>项目部</t>
    <phoneticPr fontId="2" type="noConversion"/>
  </si>
  <si>
    <t>北京市</t>
    <phoneticPr fontId="2" type="noConversion"/>
  </si>
  <si>
    <t>罗刚</t>
    <phoneticPr fontId="2" type="noConversion"/>
  </si>
  <si>
    <t>北京世纪锦湖装饰工程有限公司</t>
    <phoneticPr fontId="2" type="noConversion"/>
  </si>
  <si>
    <t>罗刚</t>
    <phoneticPr fontId="2" type="noConversion"/>
  </si>
  <si>
    <t>0061074</t>
    <phoneticPr fontId="2" type="noConversion"/>
  </si>
  <si>
    <t>管庄</t>
    <phoneticPr fontId="2" type="noConversion"/>
  </si>
  <si>
    <t>项目部表,第71行</t>
  </si>
  <si>
    <t>航天长征睿特科技天津生产基地</t>
    <phoneticPr fontId="2" type="noConversion"/>
  </si>
  <si>
    <t>北京航天万源建筑工程有限责任公司</t>
    <phoneticPr fontId="2" type="noConversion"/>
  </si>
  <si>
    <t>天津市</t>
    <phoneticPr fontId="2" type="noConversion"/>
  </si>
  <si>
    <t>李玉朝</t>
    <phoneticPr fontId="2" type="noConversion"/>
  </si>
  <si>
    <t>北京若愚装饰有限公司</t>
    <phoneticPr fontId="2" type="noConversion"/>
  </si>
  <si>
    <t>杨书芳</t>
    <phoneticPr fontId="2" type="noConversion"/>
  </si>
  <si>
    <t>异地交税</t>
    <phoneticPr fontId="2" type="noConversion"/>
  </si>
  <si>
    <t>正常进行</t>
    <phoneticPr fontId="2" type="noConversion"/>
  </si>
  <si>
    <t>项目部表,第72行</t>
  </si>
  <si>
    <t>96819部队工程</t>
    <phoneticPr fontId="2" type="noConversion"/>
  </si>
  <si>
    <t>项目部</t>
    <phoneticPr fontId="2" type="noConversion"/>
  </si>
  <si>
    <t>中国新兴建设开发总公司</t>
    <phoneticPr fontId="2" type="noConversion"/>
  </si>
  <si>
    <t>北京市</t>
    <phoneticPr fontId="2" type="noConversion"/>
  </si>
  <si>
    <t>马泽永</t>
    <phoneticPr fontId="2" type="noConversion"/>
  </si>
  <si>
    <t>天津市百环工贸有限公司</t>
    <phoneticPr fontId="2" type="noConversion"/>
  </si>
  <si>
    <t>王同利</t>
    <phoneticPr fontId="2" type="noConversion"/>
  </si>
  <si>
    <t>0061065</t>
    <phoneticPr fontId="2" type="noConversion"/>
  </si>
  <si>
    <t>项目部表,第73行</t>
  </si>
  <si>
    <t>XMF13-31</t>
    <phoneticPr fontId="2" type="noConversion"/>
  </si>
  <si>
    <t>中国国际贸易中心二座幕墙工程</t>
    <phoneticPr fontId="2" type="noConversion"/>
  </si>
  <si>
    <t>中国国际贸易中心股份有限公司二期物业中心</t>
    <phoneticPr fontId="2" type="noConversion"/>
  </si>
  <si>
    <t>柯秋惠</t>
    <phoneticPr fontId="2" type="noConversion"/>
  </si>
  <si>
    <t>北京宇光装饰有限公司</t>
    <phoneticPr fontId="2" type="noConversion"/>
  </si>
  <si>
    <t>0061068</t>
    <phoneticPr fontId="2" type="noConversion"/>
  </si>
  <si>
    <t>项目部表,第74行</t>
  </si>
  <si>
    <t>密云县穆家岭希望一期3#地</t>
    <phoneticPr fontId="2" type="noConversion"/>
  </si>
  <si>
    <t>北京华润希望发展有限公司</t>
    <phoneticPr fontId="2" type="noConversion"/>
  </si>
  <si>
    <t>余斌</t>
    <phoneticPr fontId="2" type="noConversion"/>
  </si>
  <si>
    <t>博洋恒润（北京）幕墙装饰工程有限公司</t>
    <phoneticPr fontId="2" type="noConversion"/>
  </si>
  <si>
    <t>余斌</t>
    <phoneticPr fontId="2" type="noConversion"/>
  </si>
  <si>
    <t>0064207</t>
    <phoneticPr fontId="2" type="noConversion"/>
  </si>
  <si>
    <t>完工</t>
    <phoneticPr fontId="2" type="noConversion"/>
  </si>
  <si>
    <t>项目部表,第75行</t>
  </si>
  <si>
    <t>大兴北臧村镇居住及配套项目</t>
    <phoneticPr fontId="2" type="noConversion"/>
  </si>
  <si>
    <t>北京博大经开建设有限公司</t>
    <phoneticPr fontId="2" type="noConversion"/>
  </si>
  <si>
    <t>张永强</t>
    <phoneticPr fontId="2" type="noConversion"/>
  </si>
  <si>
    <t>北京泰顺源装饰装潢有限公司</t>
    <phoneticPr fontId="2" type="noConversion"/>
  </si>
  <si>
    <t>0061071</t>
    <phoneticPr fontId="2" type="noConversion"/>
  </si>
  <si>
    <t>项目部表,第76行</t>
  </si>
  <si>
    <t>天津东疆港瞰海轩工程</t>
    <phoneticPr fontId="2" type="noConversion"/>
  </si>
  <si>
    <t>天津市</t>
    <phoneticPr fontId="2" type="noConversion"/>
  </si>
  <si>
    <t>王培俊</t>
    <phoneticPr fontId="2" type="noConversion"/>
  </si>
  <si>
    <t>北京玉林强钢化玻璃有限公司</t>
    <phoneticPr fontId="2" type="noConversion"/>
  </si>
  <si>
    <t>异地交税</t>
    <phoneticPr fontId="2" type="noConversion"/>
  </si>
  <si>
    <t>管庄</t>
    <phoneticPr fontId="2" type="noConversion"/>
  </si>
  <si>
    <t>项目部表,第77行</t>
  </si>
  <si>
    <t>红星国际广场3#地A1楼铝合金门窗</t>
    <phoneticPr fontId="2" type="noConversion"/>
  </si>
  <si>
    <t>天津市华运商贸物业有限公司</t>
    <phoneticPr fontId="2" type="noConversion"/>
  </si>
  <si>
    <t>闫禄章</t>
    <phoneticPr fontId="2" type="noConversion"/>
  </si>
  <si>
    <t>北京奥维尔建筑材料销售有限公司</t>
    <phoneticPr fontId="2" type="noConversion"/>
  </si>
  <si>
    <t>项目部表,第78行</t>
  </si>
  <si>
    <t>温泉公寓B型公寓一期外立面</t>
    <phoneticPr fontId="2" type="noConversion"/>
  </si>
  <si>
    <t>北京春晖园文化娱乐有限责任公司</t>
    <phoneticPr fontId="2" type="noConversion"/>
  </si>
  <si>
    <t>纪树军</t>
    <phoneticPr fontId="2" type="noConversion"/>
  </si>
  <si>
    <t xml:space="preserve">北京中建润泽建筑工程有限公司 </t>
    <phoneticPr fontId="2" type="noConversion"/>
  </si>
  <si>
    <t>李邦海</t>
    <phoneticPr fontId="2" type="noConversion"/>
  </si>
  <si>
    <t>否</t>
    <phoneticPr fontId="2" type="noConversion"/>
  </si>
  <si>
    <t>0061067</t>
    <phoneticPr fontId="2" type="noConversion"/>
  </si>
  <si>
    <t>项目部表,第79行</t>
  </si>
  <si>
    <t>新宁波站改建工程</t>
    <phoneticPr fontId="2" type="noConversion"/>
  </si>
  <si>
    <t>中铁建设集团有限公司宁波铁路枢纽工程项目经理部</t>
    <phoneticPr fontId="2" type="noConversion"/>
  </si>
  <si>
    <t>浙江宁波</t>
    <phoneticPr fontId="2" type="noConversion"/>
  </si>
  <si>
    <t>杨如林</t>
    <phoneticPr fontId="2" type="noConversion"/>
  </si>
  <si>
    <t>北京和平芙蓉商贸有限公司</t>
    <phoneticPr fontId="2" type="noConversion"/>
  </si>
  <si>
    <t>董宴春</t>
    <phoneticPr fontId="2" type="noConversion"/>
  </si>
  <si>
    <t>0061070</t>
    <phoneticPr fontId="2" type="noConversion"/>
  </si>
  <si>
    <t>项目部表,第80行</t>
  </si>
  <si>
    <t>国网智能电网研究院倒班宿舍楼</t>
    <phoneticPr fontId="2" type="noConversion"/>
  </si>
  <si>
    <t>中铁建设集团有限公司</t>
    <phoneticPr fontId="2" type="noConversion"/>
  </si>
  <si>
    <t>北京和平芙蓉商贸有限公司</t>
    <phoneticPr fontId="2" type="noConversion"/>
  </si>
  <si>
    <t>董宴春</t>
    <phoneticPr fontId="2" type="noConversion"/>
  </si>
  <si>
    <t>0061073</t>
    <phoneticPr fontId="2" type="noConversion"/>
  </si>
  <si>
    <t>项目部表,第81行</t>
  </si>
  <si>
    <t>XMF13-39</t>
    <phoneticPr fontId="2" type="noConversion"/>
  </si>
  <si>
    <t>锋创科技园4#研发办公楼</t>
    <phoneticPr fontId="2" type="noConversion"/>
  </si>
  <si>
    <t>锋创科技发展（北京）有限公司</t>
    <phoneticPr fontId="2" type="noConversion"/>
  </si>
  <si>
    <t>苏洪波</t>
    <phoneticPr fontId="2" type="noConversion"/>
  </si>
  <si>
    <t>北京嘉世弘商贸有限公司</t>
    <phoneticPr fontId="2" type="noConversion"/>
  </si>
  <si>
    <t>韩魁</t>
    <phoneticPr fontId="2" type="noConversion"/>
  </si>
  <si>
    <t>0245333</t>
    <phoneticPr fontId="2" type="noConversion"/>
  </si>
  <si>
    <t>项目部表,第82行</t>
  </si>
  <si>
    <t>望海楼南侧</t>
    <phoneticPr fontId="2" type="noConversion"/>
  </si>
  <si>
    <t>北京德海鸿业投资有限公司</t>
    <phoneticPr fontId="2" type="noConversion"/>
  </si>
  <si>
    <t>纪树军</t>
    <phoneticPr fontId="2" type="noConversion"/>
  </si>
  <si>
    <t>0061075</t>
    <phoneticPr fontId="2" type="noConversion"/>
  </si>
  <si>
    <t>完工</t>
    <phoneticPr fontId="2" type="noConversion"/>
  </si>
  <si>
    <t>项目部表,第83行</t>
  </si>
  <si>
    <t>欧逸丽庭二期北标段项目</t>
    <phoneticPr fontId="2" type="noConversion"/>
  </si>
  <si>
    <t>三河成功房地产开发有限公司/中建二局第一建筑工程有限公司</t>
    <phoneticPr fontId="2" type="noConversion"/>
  </si>
  <si>
    <t>河北燕郊</t>
    <phoneticPr fontId="2" type="noConversion"/>
  </si>
  <si>
    <t>王军</t>
    <phoneticPr fontId="2" type="noConversion"/>
  </si>
  <si>
    <t>北京军建凯达幕墙装饰有限公司</t>
    <phoneticPr fontId="2" type="noConversion"/>
  </si>
  <si>
    <t>秦存国</t>
    <phoneticPr fontId="2" type="noConversion"/>
  </si>
  <si>
    <t>9061373</t>
    <phoneticPr fontId="2" type="noConversion"/>
  </si>
  <si>
    <t>项目部表,第84行</t>
  </si>
  <si>
    <t>成功（中国）大广场休闲娱乐中心</t>
    <phoneticPr fontId="2" type="noConversion"/>
  </si>
  <si>
    <t>成功（中国）大广场有限公司/中国建筑第二工程局有限公司</t>
    <phoneticPr fontId="2" type="noConversion"/>
  </si>
  <si>
    <t>秦存国</t>
    <phoneticPr fontId="2" type="noConversion"/>
  </si>
  <si>
    <t>9061374</t>
    <phoneticPr fontId="2" type="noConversion"/>
  </si>
  <si>
    <t>项目部表,第85行</t>
  </si>
  <si>
    <t>华远大厦维修项目</t>
    <phoneticPr fontId="2" type="noConversion"/>
  </si>
  <si>
    <t>北京市华远集团有限公司</t>
    <phoneticPr fontId="2" type="noConversion"/>
  </si>
  <si>
    <t>金生文</t>
    <phoneticPr fontId="2" type="noConversion"/>
  </si>
  <si>
    <t>北京长风幕墙装饰有限公司</t>
    <phoneticPr fontId="2" type="noConversion"/>
  </si>
  <si>
    <t>李猛</t>
    <phoneticPr fontId="2" type="noConversion"/>
  </si>
  <si>
    <t>0061077</t>
    <phoneticPr fontId="2" type="noConversion"/>
  </si>
  <si>
    <t>项目部表,第86行</t>
  </si>
  <si>
    <t>XMF13-44</t>
    <phoneticPr fontId="2" type="noConversion"/>
  </si>
  <si>
    <t>香河鸿坤理想城阳光项目</t>
    <phoneticPr fontId="2" type="noConversion"/>
  </si>
  <si>
    <t>香河县鸿坤房地产开发有限公司</t>
    <phoneticPr fontId="2" type="noConversion"/>
  </si>
  <si>
    <t>河北香河</t>
    <phoneticPr fontId="2" type="noConversion"/>
  </si>
  <si>
    <t>冯国亮</t>
    <phoneticPr fontId="2" type="noConversion"/>
  </si>
  <si>
    <t>三河市益吉装饰工程有限公司</t>
    <phoneticPr fontId="2" type="noConversion"/>
  </si>
  <si>
    <t>冯国亮</t>
    <phoneticPr fontId="2" type="noConversion"/>
  </si>
  <si>
    <t>0245329</t>
    <phoneticPr fontId="2" type="noConversion"/>
  </si>
  <si>
    <t>三河</t>
    <phoneticPr fontId="2" type="noConversion"/>
  </si>
  <si>
    <t>项目部表,第87行</t>
  </si>
  <si>
    <t>1#楼生物技术研发中心项目幕墙工程</t>
    <phoneticPr fontId="2" type="noConversion"/>
  </si>
  <si>
    <t>北京城建七建设工程有限公司</t>
    <phoneticPr fontId="2" type="noConversion"/>
  </si>
  <si>
    <t>罗刚</t>
    <phoneticPr fontId="2" type="noConversion"/>
  </si>
  <si>
    <t>1245398</t>
    <phoneticPr fontId="2" type="noConversion"/>
  </si>
  <si>
    <t>项目部表,第88行</t>
  </si>
  <si>
    <t>A1厂房等8项-B1研发楼</t>
    <phoneticPr fontId="2" type="noConversion"/>
  </si>
  <si>
    <t>北京港荣食品有限公司</t>
    <phoneticPr fontId="2" type="noConversion"/>
  </si>
  <si>
    <t>孙超</t>
    <phoneticPr fontId="2" type="noConversion"/>
  </si>
  <si>
    <t>北京海锐广告有限公司</t>
    <phoneticPr fontId="2" type="noConversion"/>
  </si>
  <si>
    <t>1251028</t>
    <phoneticPr fontId="2" type="noConversion"/>
  </si>
  <si>
    <t>三河</t>
    <phoneticPr fontId="2" type="noConversion"/>
  </si>
  <si>
    <t>项目部表,第89行</t>
  </si>
  <si>
    <t>XMF13-47</t>
    <phoneticPr fontId="2" type="noConversion"/>
  </si>
  <si>
    <t>数据技术研发中心建设项目6#楼</t>
    <phoneticPr fontId="2" type="noConversion"/>
  </si>
  <si>
    <t>汇天网络科技有限公司</t>
    <phoneticPr fontId="2" type="noConversion"/>
  </si>
  <si>
    <t>李智勇</t>
    <phoneticPr fontId="2" type="noConversion"/>
  </si>
  <si>
    <t>北京通联门窗有限公司</t>
    <phoneticPr fontId="2" type="noConversion"/>
  </si>
  <si>
    <t>吕松岩</t>
    <phoneticPr fontId="2" type="noConversion"/>
  </si>
  <si>
    <t>1251034</t>
    <phoneticPr fontId="2" type="noConversion"/>
  </si>
  <si>
    <t>项目部表,第90行</t>
  </si>
  <si>
    <t>研发办公楼D座等16项</t>
    <phoneticPr fontId="2" type="noConversion"/>
  </si>
  <si>
    <t>曲刚</t>
    <phoneticPr fontId="2" type="noConversion"/>
  </si>
  <si>
    <t>北京京业正通建筑材料有限责任公司</t>
    <phoneticPr fontId="2" type="noConversion"/>
  </si>
  <si>
    <t>王艳</t>
    <phoneticPr fontId="2" type="noConversion"/>
  </si>
  <si>
    <t>项目部表,第91行</t>
  </si>
  <si>
    <t>天津红星国际广场3#地A2-A4楼</t>
    <phoneticPr fontId="2" type="noConversion"/>
  </si>
  <si>
    <t>项目部表,第92行</t>
  </si>
  <si>
    <t>金宝花园</t>
    <phoneticPr fontId="2" type="noConversion"/>
  </si>
  <si>
    <t>北京金宝房地产开发有限公司</t>
    <phoneticPr fontId="2" type="noConversion"/>
  </si>
  <si>
    <t>韩魁</t>
    <phoneticPr fontId="2" type="noConversion"/>
  </si>
  <si>
    <t>0245330</t>
    <phoneticPr fontId="2" type="noConversion"/>
  </si>
  <si>
    <t>大兴</t>
    <phoneticPr fontId="2" type="noConversion"/>
  </si>
  <si>
    <t>项目部表,第93行</t>
  </si>
  <si>
    <t>XMF13-51</t>
    <phoneticPr fontId="2" type="noConversion"/>
  </si>
  <si>
    <t>大兴定向安置房（榆垡）</t>
    <phoneticPr fontId="2" type="noConversion"/>
  </si>
  <si>
    <t>北京万兴建筑集团有限公司</t>
    <phoneticPr fontId="2" type="noConversion"/>
  </si>
  <si>
    <t>孙磊</t>
    <phoneticPr fontId="2" type="noConversion"/>
  </si>
  <si>
    <t>北京红星日晟门窗厂</t>
    <phoneticPr fontId="2" type="noConversion"/>
  </si>
  <si>
    <t>李书玉</t>
    <phoneticPr fontId="2" type="noConversion"/>
  </si>
  <si>
    <t>0245328</t>
    <phoneticPr fontId="2" type="noConversion"/>
  </si>
  <si>
    <t>项目部表,第94行</t>
  </si>
  <si>
    <t>XMF13-52</t>
    <phoneticPr fontId="2" type="noConversion"/>
  </si>
  <si>
    <t>橡树湾售楼样板间</t>
    <phoneticPr fontId="2" type="noConversion"/>
  </si>
  <si>
    <t>北京优高雅装饰工程有限公司</t>
    <phoneticPr fontId="2" type="noConversion"/>
  </si>
  <si>
    <t>博洋恒润（北京）幕墙装饰工程有限公司</t>
    <phoneticPr fontId="2" type="noConversion"/>
  </si>
  <si>
    <t>0245339</t>
    <phoneticPr fontId="2" type="noConversion"/>
  </si>
  <si>
    <t>项目部表,第95行</t>
  </si>
  <si>
    <t>肽谷生命科学园1-2期</t>
    <phoneticPr fontId="2" type="noConversion"/>
  </si>
  <si>
    <t>固安肽谷药业科技有限公司</t>
    <phoneticPr fontId="2" type="noConversion"/>
  </si>
  <si>
    <t>河北固安</t>
    <phoneticPr fontId="2" type="noConversion"/>
  </si>
  <si>
    <t>北京世纪锦湖装饰工程有限公司</t>
    <phoneticPr fontId="2" type="noConversion"/>
  </si>
  <si>
    <t>9061371</t>
    <phoneticPr fontId="2" type="noConversion"/>
  </si>
  <si>
    <t>项目部表,第96行</t>
  </si>
  <si>
    <t>门头沟项目B区铝合金门窗及百叶</t>
    <phoneticPr fontId="2" type="noConversion"/>
  </si>
  <si>
    <t>华润置地发展（北京）有限公司/中天建设集团有限公司</t>
    <phoneticPr fontId="2" type="noConversion"/>
  </si>
  <si>
    <t>0446167</t>
    <phoneticPr fontId="2" type="noConversion"/>
  </si>
  <si>
    <t>大厂</t>
    <phoneticPr fontId="2" type="noConversion"/>
  </si>
  <si>
    <t>项目部表,第97行</t>
  </si>
  <si>
    <t>德州康博公馆一期一标段工程</t>
    <phoneticPr fontId="2" type="noConversion"/>
  </si>
  <si>
    <t>青建集团股份公司</t>
    <phoneticPr fontId="2" type="noConversion"/>
  </si>
  <si>
    <t>山东德州</t>
    <phoneticPr fontId="2" type="noConversion"/>
  </si>
  <si>
    <t>李金光</t>
    <phoneticPr fontId="2" type="noConversion"/>
  </si>
  <si>
    <t>北京丰益宏业装饰有限公司</t>
    <phoneticPr fontId="2" type="noConversion"/>
  </si>
  <si>
    <t>0245321</t>
    <phoneticPr fontId="2" type="noConversion"/>
  </si>
  <si>
    <t>昌平</t>
    <phoneticPr fontId="2" type="noConversion"/>
  </si>
  <si>
    <t>项目部表,第98行</t>
  </si>
  <si>
    <t>房山长沟镇改造一期</t>
    <phoneticPr fontId="2" type="noConversion"/>
  </si>
  <si>
    <t>付仁福</t>
    <phoneticPr fontId="2" type="noConversion"/>
  </si>
  <si>
    <t>北京富恒兴达装饰工程有限公司</t>
    <phoneticPr fontId="2" type="noConversion"/>
  </si>
  <si>
    <t>0245327</t>
    <phoneticPr fontId="2" type="noConversion"/>
  </si>
  <si>
    <t>亦庄</t>
    <phoneticPr fontId="2" type="noConversion"/>
  </si>
  <si>
    <t>项目部表,第99行</t>
  </si>
  <si>
    <t>XMF13-57</t>
    <phoneticPr fontId="2" type="noConversion"/>
  </si>
  <si>
    <t>合肥南站</t>
    <phoneticPr fontId="2" type="noConversion"/>
  </si>
  <si>
    <t>中铁建设集团有限公司</t>
    <phoneticPr fontId="2" type="noConversion"/>
  </si>
  <si>
    <t>安徽合肥</t>
    <phoneticPr fontId="2" type="noConversion"/>
  </si>
  <si>
    <t>颜自成</t>
    <phoneticPr fontId="2" type="noConversion"/>
  </si>
  <si>
    <t>杭州创基建筑装饰工程有限公司</t>
    <phoneticPr fontId="2" type="noConversion"/>
  </si>
  <si>
    <t>王艳</t>
    <phoneticPr fontId="2" type="noConversion"/>
  </si>
  <si>
    <t>1251031</t>
    <phoneticPr fontId="2" type="noConversion"/>
  </si>
  <si>
    <t>项目部表,第100行</t>
  </si>
  <si>
    <t>华茂嘉园住宅小区隔热</t>
    <phoneticPr fontId="2" type="noConversion"/>
  </si>
  <si>
    <t>江苏金月房地产集团有限公司</t>
    <phoneticPr fontId="2" type="noConversion"/>
  </si>
  <si>
    <t>王同利</t>
    <phoneticPr fontId="2" type="noConversion"/>
  </si>
  <si>
    <t>三河</t>
    <phoneticPr fontId="2" type="noConversion"/>
  </si>
  <si>
    <t>项目部表,第101行</t>
  </si>
  <si>
    <t>5#生物研发楼外幕墙工程</t>
    <phoneticPr fontId="2" type="noConversion"/>
  </si>
  <si>
    <t>北京中关村生命科学院园发展有限责任公司</t>
    <phoneticPr fontId="2" type="noConversion"/>
  </si>
  <si>
    <t>罗刚</t>
    <phoneticPr fontId="2" type="noConversion"/>
  </si>
  <si>
    <t>北京世纪锦湖装饰工程有限公司</t>
    <phoneticPr fontId="2" type="noConversion"/>
  </si>
  <si>
    <t>罗刚</t>
    <phoneticPr fontId="2" type="noConversion"/>
  </si>
  <si>
    <t>否</t>
    <phoneticPr fontId="2" type="noConversion"/>
  </si>
  <si>
    <t>0446161</t>
    <phoneticPr fontId="2" type="noConversion"/>
  </si>
  <si>
    <t>完工</t>
    <phoneticPr fontId="2" type="noConversion"/>
  </si>
  <si>
    <t>项目部表,第102行</t>
  </si>
  <si>
    <t>总政机关黄寺礼堂</t>
    <phoneticPr fontId="2" type="noConversion"/>
  </si>
  <si>
    <t>中国人民解放军总政治部机关营建办公室</t>
    <phoneticPr fontId="2" type="noConversion"/>
  </si>
  <si>
    <t>北京市</t>
    <phoneticPr fontId="2" type="noConversion"/>
  </si>
  <si>
    <t>李玉朝</t>
    <phoneticPr fontId="2" type="noConversion"/>
  </si>
  <si>
    <t>北京若愚装饰有限公司</t>
    <phoneticPr fontId="2" type="noConversion"/>
  </si>
  <si>
    <t>杨书芳</t>
    <phoneticPr fontId="2" type="noConversion"/>
  </si>
  <si>
    <t>否</t>
    <phoneticPr fontId="2" type="noConversion"/>
  </si>
  <si>
    <t>0245332</t>
    <phoneticPr fontId="2" type="noConversion"/>
  </si>
  <si>
    <t>项目部表,第103行</t>
  </si>
  <si>
    <t>XMF14-01</t>
    <phoneticPr fontId="2" type="noConversion"/>
  </si>
  <si>
    <t>贵阳北站</t>
    <phoneticPr fontId="2" type="noConversion"/>
  </si>
  <si>
    <t>中铁建设集团有限公司贵阳北站项目经理部</t>
    <phoneticPr fontId="2" type="noConversion"/>
  </si>
  <si>
    <t>贵州省贵阳市</t>
    <phoneticPr fontId="2" type="noConversion"/>
  </si>
  <si>
    <t>王江军</t>
    <phoneticPr fontId="2" type="noConversion"/>
  </si>
  <si>
    <t>杭州蓝博凯盾防火门有限公司</t>
    <phoneticPr fontId="2" type="noConversion"/>
  </si>
  <si>
    <t>项目部表,第104行</t>
  </si>
  <si>
    <t>3829玻璃石材幕墙及断桥铝合金</t>
    <phoneticPr fontId="2" type="noConversion"/>
  </si>
  <si>
    <t>61195部队后勤部管理处财务科</t>
    <phoneticPr fontId="2" type="noConversion"/>
  </si>
  <si>
    <t>霍林宝</t>
    <phoneticPr fontId="2" type="noConversion"/>
  </si>
  <si>
    <t>中国人民解放军61159部队后勤部</t>
    <phoneticPr fontId="2" type="noConversion"/>
  </si>
  <si>
    <t>1251023</t>
    <phoneticPr fontId="2" type="noConversion"/>
  </si>
  <si>
    <t>项目部表,第105行</t>
  </si>
  <si>
    <t>XMF14-03</t>
  </si>
  <si>
    <t>解放军302医院感染综合楼</t>
    <phoneticPr fontId="2" type="noConversion"/>
  </si>
  <si>
    <t>中国人民解放军第三〇二医院</t>
    <phoneticPr fontId="2" type="noConversion"/>
  </si>
  <si>
    <t>邵幸来</t>
    <phoneticPr fontId="2" type="noConversion"/>
  </si>
  <si>
    <t>项目部表,第106行</t>
  </si>
  <si>
    <t>北京实创科技园开发建设股份有限公司</t>
    <phoneticPr fontId="2" type="noConversion"/>
  </si>
  <si>
    <t>中集建设集团有限公司</t>
    <phoneticPr fontId="2" type="noConversion"/>
  </si>
  <si>
    <t>金生文</t>
    <phoneticPr fontId="2" type="noConversion"/>
  </si>
  <si>
    <t>北京长风幕墙装饰有限公司</t>
    <phoneticPr fontId="2" type="noConversion"/>
  </si>
  <si>
    <t>项目部表,第107行</t>
  </si>
  <si>
    <t>XMF14-06</t>
    <phoneticPr fontId="2" type="noConversion"/>
  </si>
  <si>
    <t>北京嘉里中心翻装项目办公楼</t>
    <phoneticPr fontId="2" type="noConversion"/>
  </si>
  <si>
    <t>北京嘉奥房地产开发有限公司</t>
    <phoneticPr fontId="2" type="noConversion"/>
  </si>
  <si>
    <t>北京宇光装饰有限公司</t>
    <phoneticPr fontId="2" type="noConversion"/>
  </si>
  <si>
    <t>1251026</t>
    <phoneticPr fontId="2" type="noConversion"/>
  </si>
  <si>
    <t>项目部表,第108行</t>
  </si>
  <si>
    <t>德州康博公馆一期2#工程</t>
    <phoneticPr fontId="2" type="noConversion"/>
  </si>
  <si>
    <t>中天建设集团有限公司德厚分公司</t>
    <phoneticPr fontId="2" type="noConversion"/>
  </si>
  <si>
    <t>山东德州</t>
    <phoneticPr fontId="2" type="noConversion"/>
  </si>
  <si>
    <t>项目部表,第109行</t>
  </si>
  <si>
    <t>北京联合大学第二教学楼</t>
    <phoneticPr fontId="2" type="noConversion"/>
  </si>
  <si>
    <t>北京市第五建筑工程集团有限公司</t>
    <phoneticPr fontId="2" type="noConversion"/>
  </si>
  <si>
    <t>北京市</t>
    <phoneticPr fontId="2" type="noConversion"/>
  </si>
  <si>
    <t>1245385</t>
    <phoneticPr fontId="2" type="noConversion"/>
  </si>
  <si>
    <t>项目部表,第110行</t>
  </si>
  <si>
    <t>北京西红门兴海学校扩建项目</t>
    <phoneticPr fontId="2" type="noConversion"/>
  </si>
  <si>
    <t>北京鸿坤伟业房地产开发有限公司</t>
    <phoneticPr fontId="2" type="noConversion"/>
  </si>
  <si>
    <t>项目部表,第111行</t>
  </si>
  <si>
    <t>中国人民解放军96819部队综合管理楼</t>
    <phoneticPr fontId="2" type="noConversion"/>
  </si>
  <si>
    <t>天津市百环工贸有限公司</t>
    <phoneticPr fontId="2" type="noConversion"/>
  </si>
  <si>
    <t>正常进行</t>
    <phoneticPr fontId="2" type="noConversion"/>
  </si>
  <si>
    <t>三河</t>
    <phoneticPr fontId="2" type="noConversion"/>
  </si>
  <si>
    <t>项目部表,第112行</t>
  </si>
  <si>
    <t>XMF14-11</t>
    <phoneticPr fontId="2" type="noConversion"/>
  </si>
  <si>
    <t>大兴京城高尔夫俱乐部</t>
    <phoneticPr fontId="2" type="noConversion"/>
  </si>
  <si>
    <t>北京建工博海建设有限公司</t>
    <phoneticPr fontId="2" type="noConversion"/>
  </si>
  <si>
    <t>北京市</t>
    <phoneticPr fontId="2" type="noConversion"/>
  </si>
  <si>
    <t>北京海锐广告有限公司</t>
    <phoneticPr fontId="2" type="noConversion"/>
  </si>
  <si>
    <t>否</t>
    <phoneticPr fontId="2" type="noConversion"/>
  </si>
  <si>
    <t>0446164</t>
    <phoneticPr fontId="2" type="noConversion"/>
  </si>
  <si>
    <t>正常进行</t>
    <phoneticPr fontId="2" type="noConversion"/>
  </si>
  <si>
    <t>项目部表,第113行</t>
  </si>
  <si>
    <t>XMF14-12</t>
    <phoneticPr fontId="2" type="noConversion"/>
  </si>
  <si>
    <t>援肯尼亚卡通都医院</t>
    <phoneticPr fontId="2" type="noConversion"/>
  </si>
  <si>
    <t>项目部表,第114行</t>
  </si>
  <si>
    <t>浙江宝业建设集团有限公司</t>
    <phoneticPr fontId="2" type="noConversion"/>
  </si>
  <si>
    <t>天津市</t>
    <phoneticPr fontId="2" type="noConversion"/>
  </si>
  <si>
    <t>项目部表,第115行</t>
  </si>
  <si>
    <t>国家体育总局乒乓球馆</t>
    <phoneticPr fontId="2" type="noConversion"/>
  </si>
  <si>
    <t>项目部</t>
    <phoneticPr fontId="2" type="noConversion"/>
  </si>
  <si>
    <t>北京建工集团有限责任公司</t>
    <phoneticPr fontId="2" type="noConversion"/>
  </si>
  <si>
    <t>韩魁</t>
    <phoneticPr fontId="2" type="noConversion"/>
  </si>
  <si>
    <t>北京嘉世弘商贸有限公司</t>
    <phoneticPr fontId="2" type="noConversion"/>
  </si>
  <si>
    <t>否</t>
    <phoneticPr fontId="2" type="noConversion"/>
  </si>
  <si>
    <t>125391</t>
    <phoneticPr fontId="2" type="noConversion"/>
  </si>
  <si>
    <t>正常进行</t>
    <phoneticPr fontId="2" type="noConversion"/>
  </si>
  <si>
    <t>大兴</t>
    <phoneticPr fontId="2" type="noConversion"/>
  </si>
  <si>
    <t>项目部表,第116行</t>
  </si>
  <si>
    <t>双井宿舍楼工程</t>
    <phoneticPr fontId="2" type="noConversion"/>
  </si>
  <si>
    <t>中国国际贸易中心有限公司</t>
    <phoneticPr fontId="2" type="noConversion"/>
  </si>
  <si>
    <t>柯秋惠</t>
    <phoneticPr fontId="2" type="noConversion"/>
  </si>
  <si>
    <t>北京宇光装饰有限公司</t>
    <phoneticPr fontId="2" type="noConversion"/>
  </si>
  <si>
    <t>项目部表,第117行</t>
  </si>
  <si>
    <t>XMF14-16</t>
  </si>
  <si>
    <t>天津武清红星广场示范区</t>
    <phoneticPr fontId="2" type="noConversion"/>
  </si>
  <si>
    <t>天津市</t>
    <phoneticPr fontId="2" type="noConversion"/>
  </si>
  <si>
    <t>项目部表,第118行</t>
  </si>
  <si>
    <t>大兴旧宫中学改扩建项目</t>
    <phoneticPr fontId="2" type="noConversion"/>
  </si>
  <si>
    <t>北京市</t>
    <phoneticPr fontId="2" type="noConversion"/>
  </si>
  <si>
    <t>孙磊</t>
    <phoneticPr fontId="2" type="noConversion"/>
  </si>
  <si>
    <t>北京红星日晟门窗厂</t>
    <phoneticPr fontId="2" type="noConversion"/>
  </si>
  <si>
    <t>0446168</t>
    <phoneticPr fontId="2" type="noConversion"/>
  </si>
  <si>
    <t>亦庄</t>
    <phoneticPr fontId="2" type="noConversion"/>
  </si>
  <si>
    <t>项目部表,第119行</t>
  </si>
  <si>
    <t>M5样板间外立面幕墙</t>
    <phoneticPr fontId="2" type="noConversion"/>
  </si>
  <si>
    <t>北京五居投资有限公司</t>
    <phoneticPr fontId="2" type="noConversion"/>
  </si>
  <si>
    <t>许谊</t>
    <phoneticPr fontId="2" type="noConversion"/>
  </si>
  <si>
    <t>北京闵铝鑫门窗有限公司</t>
    <phoneticPr fontId="2" type="noConversion"/>
  </si>
  <si>
    <t>0446165</t>
    <phoneticPr fontId="2" type="noConversion"/>
  </si>
  <si>
    <t>项目部表,第120行</t>
  </si>
  <si>
    <t>东北旺农场科研楼一号楼</t>
    <phoneticPr fontId="2" type="noConversion"/>
  </si>
  <si>
    <t>北京城建道桥建设集团有限公司</t>
    <phoneticPr fontId="2" type="noConversion"/>
  </si>
  <si>
    <t>李金光</t>
    <phoneticPr fontId="2" type="noConversion"/>
  </si>
  <si>
    <t>北京丰益宏业装饰有限公司</t>
    <phoneticPr fontId="2" type="noConversion"/>
  </si>
  <si>
    <t>李金光</t>
    <phoneticPr fontId="2" type="noConversion"/>
  </si>
  <si>
    <t>项目部表,第121行</t>
  </si>
  <si>
    <t>61785部队二期经济适用房</t>
    <phoneticPr fontId="2" type="noConversion"/>
  </si>
  <si>
    <t>中国人民解放军61159部队后勤部</t>
    <phoneticPr fontId="2" type="noConversion"/>
  </si>
  <si>
    <t>霍林宝</t>
    <phoneticPr fontId="2" type="noConversion"/>
  </si>
  <si>
    <t>项目部表,第122行</t>
  </si>
  <si>
    <t>北京中医药大学良乡校区东院</t>
    <phoneticPr fontId="2" type="noConversion"/>
  </si>
  <si>
    <t>倪勇</t>
    <phoneticPr fontId="2" type="noConversion"/>
  </si>
  <si>
    <t>上海昂亚装饰有限公司</t>
    <phoneticPr fontId="2" type="noConversion"/>
  </si>
  <si>
    <t>项目部表,第123行</t>
  </si>
  <si>
    <t>天津武清原乡郡项目示范区</t>
    <phoneticPr fontId="2" type="noConversion"/>
  </si>
  <si>
    <t>冯国亮</t>
    <phoneticPr fontId="2" type="noConversion"/>
  </si>
  <si>
    <t>三河</t>
    <phoneticPr fontId="2" type="noConversion"/>
  </si>
  <si>
    <t>项目部表,第124行</t>
  </si>
  <si>
    <t>XMF14-23</t>
  </si>
  <si>
    <t>万兴综合楼工程</t>
    <phoneticPr fontId="2" type="noConversion"/>
  </si>
  <si>
    <t>项目部</t>
    <phoneticPr fontId="2" type="noConversion"/>
  </si>
  <si>
    <t>罗刚</t>
    <phoneticPr fontId="2" type="noConversion"/>
  </si>
  <si>
    <t>北京世纪锦湖装饰工程有限公司</t>
    <phoneticPr fontId="2" type="noConversion"/>
  </si>
  <si>
    <t>正常进行</t>
    <phoneticPr fontId="2" type="noConversion"/>
  </si>
  <si>
    <t>项目部表,第125行</t>
  </si>
  <si>
    <t>靓景明居四期</t>
    <phoneticPr fontId="2" type="noConversion"/>
  </si>
  <si>
    <t>项目部</t>
    <phoneticPr fontId="2" type="noConversion"/>
  </si>
  <si>
    <t>北京市</t>
    <phoneticPr fontId="2" type="noConversion"/>
  </si>
  <si>
    <t>徐建军</t>
    <phoneticPr fontId="2" type="noConversion"/>
  </si>
  <si>
    <t>高碑店市嘉鑫靓景窗业有限公司</t>
    <phoneticPr fontId="2" type="noConversion"/>
  </si>
  <si>
    <t>李成军</t>
    <phoneticPr fontId="2" type="noConversion"/>
  </si>
  <si>
    <t>项目部表,第126行</t>
  </si>
  <si>
    <t>海淀清河二期B4区</t>
    <phoneticPr fontId="2" type="noConversion"/>
  </si>
  <si>
    <t>项目部表,第127行</t>
  </si>
  <si>
    <t>6201工程</t>
    <phoneticPr fontId="2" type="noConversion"/>
  </si>
  <si>
    <t>中国人民解放军战略规划综合局</t>
    <phoneticPr fontId="2" type="noConversion"/>
  </si>
  <si>
    <t>项目部表,第128行</t>
  </si>
  <si>
    <t>21#住宅楼等18项</t>
    <phoneticPr fontId="2" type="noConversion"/>
  </si>
  <si>
    <t>李春光</t>
    <phoneticPr fontId="2" type="noConversion"/>
  </si>
  <si>
    <t>北京邦士富生物科技有限公司</t>
    <phoneticPr fontId="2" type="noConversion"/>
  </si>
  <si>
    <t>李玉斌</t>
    <phoneticPr fontId="2" type="noConversion"/>
  </si>
  <si>
    <t>项目部表,第129行</t>
  </si>
  <si>
    <t>北京市十一学校改造工程</t>
    <phoneticPr fontId="2" type="noConversion"/>
  </si>
  <si>
    <t>北京军建凯达幕墙装饰有限公司</t>
    <phoneticPr fontId="2" type="noConversion"/>
  </si>
  <si>
    <t>否</t>
    <phoneticPr fontId="2" type="noConversion"/>
  </si>
  <si>
    <t>项目部表,第130行</t>
  </si>
  <si>
    <t>总政机关东区34号楼断桥铝合金</t>
    <phoneticPr fontId="2" type="noConversion"/>
  </si>
  <si>
    <t>总政机关营建办公室</t>
    <phoneticPr fontId="2" type="noConversion"/>
  </si>
  <si>
    <t>李玉朝</t>
    <phoneticPr fontId="2" type="noConversion"/>
  </si>
  <si>
    <t>北京若愚装饰有限公司</t>
    <phoneticPr fontId="2" type="noConversion"/>
  </si>
  <si>
    <t>杨书芳</t>
    <phoneticPr fontId="2" type="noConversion"/>
  </si>
  <si>
    <t>正常进行</t>
    <phoneticPr fontId="2" type="noConversion"/>
  </si>
  <si>
    <t>万兴综合楼工程</t>
  </si>
  <si>
    <t>天津武清红星广场示范区</t>
  </si>
  <si>
    <t>解放军302医院感染综合楼</t>
  </si>
  <si>
    <t>永定华庭地下车库出入口外装饰幕墙</t>
  </si>
  <si>
    <t>XMF11-21</t>
  </si>
  <si>
    <t>/project/detail/c0674f43-487b-11e4-a99c-0021ccd107f8</t>
  </si>
  <si>
    <t>c0674f43-487b-11e4-a99c-0021ccd107f8</t>
  </si>
  <si>
    <t>c06757d7-487b-11e4-a99c-0021ccd107f8</t>
  </si>
  <si>
    <t>/profile/detail/c061822c-487b-11e4-a99c-0021ccd107f8</t>
  </si>
  <si>
    <t>c05dc7f8-487b-11e4-a99c-0021ccd107f8</t>
  </si>
  <si>
    <t>c061d4db-487b-11e4-a99c-0021ccd107f8</t>
  </si>
  <si>
    <t>/project/detail/c05d78f9-487b-11e4-a99c-0021ccd107f8</t>
  </si>
  <si>
    <t>c05d78f9-487b-11e4-a99c-0021ccd107f8</t>
  </si>
  <si>
    <t>c05d7e33-487b-11e4-a99c-0021ccd107f8</t>
  </si>
  <si>
    <t>/project/detail/c062028f-487b-11e4-a99c-0021ccd107f8</t>
  </si>
  <si>
    <t>c062028f-487b-11e4-a99c-0021ccd107f8</t>
  </si>
  <si>
    <t>c06207d2-487b-11e4-a99c-0021ccd107f8</t>
  </si>
  <si>
    <t>/payment/detail/be274d32-487b-11e4-a99c-0021ccd107f8</t>
  </si>
  <si>
    <t>be271afc-487b-11e4-a99c-0021ccd107f8</t>
  </si>
  <si>
    <t>be2768b3-487b-11e4-a99c-0021ccd107f8</t>
  </si>
  <si>
    <t>/collections/detail/be3a6e9c-487b-11e4-a99c-0021ccd107f8</t>
  </si>
  <si>
    <t>be39e511-487b-11e4-a99c-0021ccd107f8</t>
  </si>
  <si>
    <t>be3a8fa1-487b-11e4-a99c-0021ccd107f8</t>
  </si>
  <si>
    <t>/profile/detail/c065c827-487b-11e4-a99c-0021ccd107f8</t>
  </si>
  <si>
    <t>c065961a-487b-11e4-a99c-0021ccd107f8</t>
  </si>
  <si>
    <t>c0661a21-487b-11e4-a99c-0021ccd107f8</t>
  </si>
  <si>
    <t>/payment/detail/be382db8-487b-11e4-a99c-0021ccd107f8</t>
  </si>
  <si>
    <t>be37aa35-487b-11e4-a99c-0021ccd107f8</t>
  </si>
  <si>
    <t>be3850ae-487b-11e4-a99c-0021ccd107f8</t>
  </si>
  <si>
    <t>/collections/detail/be36baea-487b-11e4-a99c-0021ccd107f8</t>
  </si>
  <si>
    <t>be362f59-487b-11e4-a99c-0021ccd107f8</t>
  </si>
  <si>
    <t>be36da02-487b-11e4-a99c-0021ccd107f8</t>
  </si>
  <si>
    <t>/project/detail/be32f6ab-487b-11e4-a99c-0021ccd107f8</t>
  </si>
  <si>
    <t>be32f6ab-487b-11e4-a99c-0021ccd107f8</t>
  </si>
  <si>
    <t>be3334c3-487b-11e4-a99c-0021ccd107f8</t>
  </si>
  <si>
    <t>/project/detail/be34c708-487b-11e4-a99c-0021ccd107f8</t>
  </si>
  <si>
    <t>be34c708-487b-11e4-a99c-0021ccd107f8</t>
  </si>
  <si>
    <t>be34cd76-487b-11e4-a99c-0021ccd107f8</t>
  </si>
  <si>
    <t>/project/detail/be31b2e1-487b-11e4-a99c-0021ccd107f8</t>
  </si>
  <si>
    <t>be31b2e1-487b-11e4-a99c-0021ccd107f8</t>
  </si>
  <si>
    <t>be31b736-487b-11e4-a99c-0021ccd107f8</t>
  </si>
  <si>
    <t>/project/detail/be2f2a36-487b-11e4-a99c-0021ccd107f8</t>
  </si>
  <si>
    <t>be2f2a36-487b-11e4-a99c-0021ccd107f8</t>
  </si>
  <si>
    <t>be2f2f12-487b-11e4-a99c-0021ccd107f8</t>
  </si>
  <si>
    <t>/payment/detail/be29b4c3-487b-11e4-a99c-0021ccd107f8</t>
  </si>
  <si>
    <t>be28ed04-487b-11e4-a99c-0021ccd107f8</t>
  </si>
  <si>
    <t>be29d096-487b-11e4-a99c-0021ccd107f8</t>
  </si>
  <si>
    <t>/collections/detail/be2c5ad7-487b-11e4-a99c-0021ccd107f8</t>
  </si>
  <si>
    <t>be2b4861-487b-11e4-a99c-0021ccd107f8</t>
  </si>
  <si>
    <t>be2ca5e4-487b-11e4-a99c-0021ccd107f8</t>
  </si>
  <si>
    <t>/project/detail/be26e9da-487b-11e4-a99c-0021ccd107f8</t>
  </si>
  <si>
    <t>be26e9da-487b-11e4-a99c-0021ccd107f8</t>
  </si>
  <si>
    <t>be26ee11-487b-11e4-a99c-0021ccd107f8</t>
  </si>
  <si>
    <t>/project/detail/be3af53c-487b-11e4-a99c-0021ccd107f8</t>
  </si>
  <si>
    <t>be3af53c-487b-11e4-a99c-0021ccd107f8</t>
  </si>
  <si>
    <t>be3afb33-487b-11e4-a99c-0021ccd107f8</t>
  </si>
  <si>
    <t>/project/detail/be39ac02-487b-11e4-a99c-0021ccd107f8</t>
  </si>
  <si>
    <t>be39ac02-487b-11e4-a99c-0021ccd107f8</t>
  </si>
  <si>
    <t>be39b103-487b-11e4-a99c-0021ccd107f8</t>
  </si>
  <si>
    <t>/profile/detail/c0651817-487b-11e4-a99c-0021ccd107f8</t>
  </si>
  <si>
    <t>c064324a-487b-11e4-a99c-0021ccd107f8</t>
  </si>
  <si>
    <t>c0656969-487b-11e4-a99c-0021ccd107f8</t>
  </si>
  <si>
    <t>/project/detail/be376b58-487b-11e4-a99c-0021ccd107f8</t>
  </si>
  <si>
    <t>be376b58-487b-11e4-a99c-0021ccd107f8</t>
  </si>
  <si>
    <t>be376f7f-487b-11e4-a99c-0021ccd107f8</t>
  </si>
  <si>
    <t>/payment/detail/be35ba13-487b-11e4-a99c-0021ccd107f8</t>
  </si>
  <si>
    <t>be353296-487b-11e4-a99c-0021ccd107f8</t>
  </si>
  <si>
    <t>be35fa1c-487b-11e4-a99c-0021ccd107f8</t>
  </si>
  <si>
    <t>/payment/detail/be32a1de-487b-11e4-a99c-0021ccd107f8</t>
  </si>
  <si>
    <t>be321b2a-487b-11e4-a99c-0021ccd107f8</t>
  </si>
  <si>
    <t>be32c461-487b-11e4-a99c-0021ccd107f8</t>
  </si>
  <si>
    <t>/collections/detail/be34748a-487b-11e4-a99c-0021ccd107f8</t>
  </si>
  <si>
    <t>be339bcf-487b-11e4-a99c-0021ccd107f8</t>
  </si>
  <si>
    <t>be3495f6-487b-11e4-a99c-0021ccd107f8</t>
  </si>
  <si>
    <t>/payment/detail/be3166f3-487b-11e4-a99c-0021ccd107f8</t>
  </si>
  <si>
    <t>be309c6d-487b-11e4-a99c-0021ccd107f8</t>
  </si>
  <si>
    <t>be31839f-487b-11e4-a99c-0021ccd107f8</t>
  </si>
  <si>
    <t>/arrears/detail/be2ee1c3-487b-11e4-a99c-0021ccd107f8</t>
  </si>
  <si>
    <t>be2de947-487b-11e4-a99c-0021ccd107f8</t>
  </si>
  <si>
    <t>be2efeea-487b-11e4-a99c-0021ccd107f8</t>
  </si>
  <si>
    <t>/collections/detail/be28a3fd-487b-11e4-a99c-0021ccd107f8</t>
  </si>
  <si>
    <t>be2796f6-487b-11e4-a99c-0021ccd107f8</t>
  </si>
  <si>
    <t>be28bf02-487b-11e4-a99c-0021ccd107f8</t>
  </si>
  <si>
    <t>/project/detail/be2b13bc-487b-11e4-a99c-0021ccd107f8</t>
  </si>
  <si>
    <t>be2b13bc-487b-11e4-a99c-0021ccd107f8</t>
  </si>
  <si>
    <t>be2b1927-487b-11e4-a99c-0021ccd107f8</t>
  </si>
  <si>
    <t>/project/detail/be3ac132-487b-11e4-a99c-0021ccd107f8</t>
  </si>
  <si>
    <t>be3ac132-487b-11e4-a99c-0021ccd107f8</t>
  </si>
  <si>
    <t>be3ac668-487b-11e4-a99c-0021ccd107f8</t>
  </si>
  <si>
    <t>/partybilling/detail/c0667346-487b-11e4-a99c-0021ccd107f8</t>
  </si>
  <si>
    <t>c06644c9-487b-11e4-a99c-0021ccd107f8</t>
  </si>
  <si>
    <t>c066f967-487b-11e4-a99c-0021ccd107f8</t>
  </si>
  <si>
    <t>/collections/detail/be395bf9-487b-11e4-a99c-0021ccd107f8</t>
  </si>
  <si>
    <t>be3880b9-487b-11e4-a99c-0021ccd107f8</t>
  </si>
  <si>
    <t>be397b3a-487b-11e4-a99c-0021ccd107f8</t>
  </si>
  <si>
    <t>/project/detail/be37380f-487b-11e4-a99c-0021ccd107f8</t>
  </si>
  <si>
    <t>be37380f-487b-11e4-a99c-0021ccd107f8</t>
  </si>
  <si>
    <t>be373d4a-487b-11e4-a99c-0021ccd107f8</t>
  </si>
  <si>
    <t>/profile/detail/c05cf710-487b-11e4-a99c-0021ccd107f8</t>
  </si>
  <si>
    <t>c05bd9f4-487b-11e4-a99c-0021ccd107f8</t>
  </si>
  <si>
    <t>c05d4985-487b-11e4-a99c-0021ccd107f8</t>
  </si>
  <si>
    <t>/project/detail/be34fc97-487b-11e4-a99c-0021ccd107f8</t>
  </si>
  <si>
    <t>be34fc97-487b-11e4-a99c-0021ccd107f8</t>
  </si>
  <si>
    <t>be350446-487b-11e4-a99c-0021ccd107f8</t>
  </si>
  <si>
    <t>/project/detail/be31e85c-487b-11e4-a99c-0021ccd107f8</t>
  </si>
  <si>
    <t>be31e85c-487b-11e4-a99c-0021ccd107f8</t>
  </si>
  <si>
    <t>be31ec63-487b-11e4-a99c-0021ccd107f8</t>
  </si>
  <si>
    <t>/project/detail/be33657b-487b-11e4-a99c-0021ccd107f8</t>
  </si>
  <si>
    <t>be33657b-487b-11e4-a99c-0021ccd107f8</t>
  </si>
  <si>
    <t>be336a4e-487b-11e4-a99c-0021ccd107f8</t>
  </si>
  <si>
    <t>/payment/detail/be304ebb-487b-11e4-a99c-0021ccd107f8</t>
  </si>
  <si>
    <t>be2f5c6c-487b-11e4-a99c-0021ccd107f8</t>
  </si>
  <si>
    <t>be306c49-487b-11e4-a99c-0021ccd107f8</t>
  </si>
  <si>
    <t>/payment/detail/be2d9e60-487b-11e4-a99c-0021ccd107f8</t>
  </si>
  <si>
    <t>be2cd18f-487b-11e4-a99c-0021ccd107f8</t>
  </si>
  <si>
    <t>be2dba0d-487b-11e4-a99c-0021ccd107f8</t>
  </si>
  <si>
    <t>/payment/detail/be2ac52c-487b-11e4-a99c-0021ccd107f8</t>
  </si>
  <si>
    <t>be29ffe5-487b-11e4-a99c-0021ccd107f8</t>
  </si>
  <si>
    <t>be2ae0ff-487b-11e4-a99c-0021ccd107f8</t>
  </si>
  <si>
    <t>/profile/detail/c05b5cbe-487b-11e4-a99c-0021ccd107f8</t>
  </si>
  <si>
    <t>c057b1f2-487b-11e4-a99c-0021ccd107f8</t>
  </si>
  <si>
    <t>c05bad4b-487b-11e4-a99c-0021ccd107f8</t>
  </si>
  <si>
    <t>/profile/detail/c057115c-487b-11e4-a99c-0021ccd107f8</t>
  </si>
  <si>
    <t>c0562b2d-487b-11e4-a99c-0021ccd107f8</t>
  </si>
  <si>
    <t>c0576687-487b-11e4-a99c-0021ccd107f8</t>
  </si>
  <si>
    <t>/project/detail/be26b714-487b-11e4-a99c-0021ccd107f8</t>
  </si>
  <si>
    <t>be26b714-487b-11e4-a99c-0021ccd107f8</t>
  </si>
  <si>
    <t>be26bbec-487b-11e4-a99c-0021ccd107f8</t>
  </si>
  <si>
    <t>/profile/detail/c055ab31-487b-11e4-a99c-0021ccd107f8</t>
  </si>
  <si>
    <t>c053c28c-487b-11e4-a99c-0021ccd107f8</t>
  </si>
  <si>
    <t>c055fcfe-487b-11e4-a99c-0021ccd107f8</t>
  </si>
  <si>
    <t>/collections/detail/c0533d3d-487b-11e4-a99c-0021ccd107f8</t>
  </si>
  <si>
    <t>c05035f3-487b-11e4-a99c-0021ccd107f8</t>
  </si>
  <si>
    <t>c05392df-487b-11e4-a99c-0021ccd107f8</t>
  </si>
  <si>
    <t>/profile/detail/c04d5737-487b-11e4-a99c-0021ccd107f8</t>
  </si>
  <si>
    <t>c0491342-487b-11e4-a99c-0021ccd107f8</t>
  </si>
  <si>
    <t>c04daabb-487b-11e4-a99c-0021ccd107f8</t>
  </si>
  <si>
    <t>/payment/detail/be266d40-487b-11e4-a99c-0021ccd107f8</t>
  </si>
  <si>
    <t>be257b57-487b-11e4-a99c-0021ccd107f8</t>
  </si>
  <si>
    <t>be26888b-487b-11e4-a99c-0021ccd107f8</t>
  </si>
  <si>
    <t>/profile/detail/c04e0f12-487b-11e4-a99c-0021ccd107f8</t>
  </si>
  <si>
    <t>c04dd9fe-487b-11e4-a99c-0021ccd107f8</t>
  </si>
  <si>
    <t>c04e6370-487b-11e4-a99c-0021ccd107f8</t>
  </si>
  <si>
    <t>/profile/detail/c04fb2b9-487b-11e4-a99c-0021ccd107f8</t>
  </si>
  <si>
    <t>c04ec7ec-487b-11e4-a99c-0021ccd107f8</t>
  </si>
  <si>
    <t>c0500728-487b-11e4-a99c-0021ccd107f8</t>
  </si>
  <si>
    <t>/project/detail/c04e9430-487b-11e4-a99c-0021ccd107f8</t>
  </si>
  <si>
    <t>c04e9430-487b-11e4-a99c-0021ccd107f8</t>
  </si>
  <si>
    <t>c04e9900-487b-11e4-a99c-0021ccd107f8</t>
  </si>
  <si>
    <t>/profile/detail/c0489205-487b-11e4-a99c-0021ccd107f8</t>
  </si>
  <si>
    <t>c044df7f-487b-11e4-a99c-0021ccd107f8</t>
  </si>
  <si>
    <t>c048e213-487b-11e4-a99c-0021ccd107f8</t>
  </si>
  <si>
    <t>/profile/detail/c042e1d9-487b-11e4-a99c-0021ccd107f8</t>
  </si>
  <si>
    <t>c03f1e95-487b-11e4-a99c-0021ccd107f8</t>
  </si>
  <si>
    <t>c0433432-487b-11e4-a99c-0021ccd107f8</t>
  </si>
  <si>
    <t>/profile/detail/c03e6eae-487b-11e4-a99c-0021ccd107f8</t>
  </si>
  <si>
    <t>c03a4eda-487b-11e4-a99c-0021ccd107f8</t>
  </si>
  <si>
    <t>c03ebb6a-487b-11e4-a99c-0021ccd107f8</t>
  </si>
  <si>
    <t>/profile/detail/c0445db3-487b-11e4-a99c-0021ccd107f8</t>
  </si>
  <si>
    <t>c04364fa-487b-11e4-a99c-0021ccd107f8</t>
  </si>
  <si>
    <t>c044af26-487b-11e4-a99c-0021ccd107f8</t>
  </si>
  <si>
    <t>/profile/detail/c039ca02-487b-11e4-a99c-0021ccd107f8</t>
  </si>
  <si>
    <t>c03575a0-487b-11e4-a99c-0021ccd107f8</t>
  </si>
  <si>
    <t>c03a1b6c-487b-11e4-a99c-0021ccd107f8</t>
  </si>
  <si>
    <t>/collections/detail/be2533d6-487b-11e4-a99c-0021ccd107f8</t>
  </si>
  <si>
    <t>be241d0c-487b-11e4-a99c-0021ccd107f8</t>
  </si>
  <si>
    <t>be254e5c-487b-11e4-a99c-0021ccd107f8</t>
  </si>
  <si>
    <t>/profile/detail/c034f443-487b-11e4-a99c-0021ccd107f8</t>
  </si>
  <si>
    <t>c02c3761-487b-11e4-a99c-0021ccd107f8</t>
  </si>
  <si>
    <t>c03546fa-487b-11e4-a99c-0021ccd107f8</t>
  </si>
  <si>
    <t>/collections/detail/c022f527-487b-11e4-a99c-0021ccd107f8</t>
  </si>
  <si>
    <t>c01eb12e-487b-11e4-a99c-0021ccd107f8</t>
  </si>
  <si>
    <t>c0234c22-487b-11e4-a99c-0021ccd107f8</t>
  </si>
  <si>
    <t>/collections/detail/be23d343-487b-11e4-a99c-0021ccd107f8</t>
  </si>
  <si>
    <t>be22c945-487b-11e4-a99c-0021ccd107f8</t>
  </si>
  <si>
    <t>be23ed42-487b-11e4-a99c-0021ccd107f8</t>
  </si>
  <si>
    <t>/profile/detail/c02bb754-487b-11e4-a99c-0021ccd107f8</t>
  </si>
  <si>
    <t>c0237cc2-487b-11e4-a99c-0021ccd107f8</t>
  </si>
  <si>
    <t>c02c0380-487b-11e4-a99c-0021ccd107f8</t>
  </si>
  <si>
    <t>/collections/detail/be228280-487b-11e4-a99c-0021ccd107f8</t>
  </si>
  <si>
    <t>be21726a-487b-11e4-a99c-0021ccd107f8</t>
  </si>
  <si>
    <t>be229c29-487b-11e4-a99c-0021ccd107f8</t>
  </si>
  <si>
    <t>/project/detail/c0159e5b-487b-11e4-a99c-0021ccd107f8</t>
  </si>
  <si>
    <t>c0159e5b-487b-11e4-a99c-0021ccd107f8</t>
  </si>
  <si>
    <t>c015a494-487b-11e4-a99c-0021ccd107f8</t>
  </si>
  <si>
    <t>/collections/detail/c013f13a-487b-11e4-a99c-0021ccd107f8</t>
  </si>
  <si>
    <t>c00fd043-487b-11e4-a99c-0021ccd107f8</t>
  </si>
  <si>
    <t>c0146d61-487b-11e4-a99c-0021ccd107f8</t>
  </si>
  <si>
    <t>/collections/detail/be21261d-487b-11e4-a99c-0021ccd107f8</t>
  </si>
  <si>
    <t>be200f2d-487b-11e4-a99c-0021ccd107f8</t>
  </si>
  <si>
    <t>be214007-487b-11e4-a99c-0021ccd107f8</t>
  </si>
  <si>
    <t>/profile/detail/c01d034c-487b-11e4-a99c-0021ccd107f8</t>
  </si>
  <si>
    <t>c0174a87-487b-11e4-a99c-0021ccd107f8</t>
  </si>
  <si>
    <t>c01d513b-487b-11e4-a99c-0021ccd107f8</t>
  </si>
  <si>
    <t>/payment/detail/c00f471e-487b-11e4-a99c-0021ccd107f8</t>
  </si>
  <si>
    <t>c00cee49-487b-11e4-a99c-0021ccd107f8</t>
  </si>
  <si>
    <t>c00f9fb8-487b-11e4-a99c-0021ccd107f8</t>
  </si>
  <si>
    <t>/profile/detail/c00c76f6-487b-11e4-a99c-0021ccd107f8</t>
  </si>
  <si>
    <t>c008a300-487b-11e4-a99c-0021ccd107f8</t>
  </si>
  <si>
    <t>c00cc27e-487b-11e4-a99c-0021ccd107f8</t>
  </si>
  <si>
    <t>/profile/detail/c0082792-487b-11e4-a99c-0021ccd107f8</t>
  </si>
  <si>
    <t>c00538d9-487b-11e4-a99c-0021ccd107f8</t>
  </si>
  <si>
    <t>c00872bb-487b-11e4-a99c-0021ccd107f8</t>
  </si>
  <si>
    <t>/profile/detail/c004c51d-487b-11e4-a99c-0021ccd107f8</t>
  </si>
  <si>
    <t>c002a52e-487b-11e4-a99c-0021ccd107f8</t>
  </si>
  <si>
    <t>c0050d57-487b-11e4-a99c-0021ccd107f8</t>
  </si>
  <si>
    <t>/payment/detail/c002245c-487b-11e4-a99c-0021ccd107f8</t>
  </si>
  <si>
    <t>bfff89a7-487b-11e4-a99c-0021ccd107f8</t>
  </si>
  <si>
    <t>c0027420-487b-11e4-a99c-0021ccd107f8</t>
  </si>
  <si>
    <t>/collections/detail/be1e67b1-487b-11e4-a99c-0021ccd107f8</t>
  </si>
  <si>
    <t>be1d9dab-487b-11e4-a99c-0021ccd107f8</t>
  </si>
  <si>
    <t>be1e8107-487b-11e4-a99c-0021ccd107f8</t>
  </si>
  <si>
    <t>/collections/detail/be1a74c8-487b-11e4-a99c-0021ccd107f8</t>
  </si>
  <si>
    <t>be196c27-487b-11e4-a99c-0021ccd107f8</t>
  </si>
  <si>
    <t>be1a8c46-487b-11e4-a99c-0021ccd107f8</t>
  </si>
  <si>
    <t>/collections/detail/be16b67c-487b-11e4-a99c-0021ccd107f8</t>
  </si>
  <si>
    <t>be15b919-487b-11e4-a99c-0021ccd107f8</t>
  </si>
  <si>
    <t>be16ccba-487b-11e4-a99c-0021ccd107f8</t>
  </si>
  <si>
    <t>/collections/detail/be13757f-487b-11e4-a99c-0021ccd107f8</t>
  </si>
  <si>
    <t>be12658e-487b-11e4-a99c-0021ccd107f8</t>
  </si>
  <si>
    <t>be138afc-487b-11e4-a99c-0021ccd107f8</t>
  </si>
  <si>
    <t>/profile/detail/bfff1475-487b-11e4-a99c-0021ccd107f8</t>
  </si>
  <si>
    <t>bffb45ca-487b-11e4-a99c-0021ccd107f8</t>
  </si>
  <si>
    <t>bfff5d68-487b-11e4-a99c-0021ccd107f8</t>
  </si>
  <si>
    <t>/collections/detail/be1d26ef-487b-11e4-a99c-0021ccd107f8</t>
  </si>
  <si>
    <t>be1c2346-487b-11e4-a99c-0021ccd107f8</t>
  </si>
  <si>
    <t>be1d3d7f-487b-11e4-a99c-0021ccd107f8</t>
  </si>
  <si>
    <t>/payment/detail/be1922ee-487b-11e4-a99c-0021ccd107f8</t>
  </si>
  <si>
    <t>be184a27-487b-11e4-a99c-0021ccd107f8</t>
  </si>
  <si>
    <t>be193a53-487b-11e4-a99c-0021ccd107f8</t>
  </si>
  <si>
    <t>/collections/detail/be1221fa-487b-11e4-a99c-0021ccd107f8</t>
  </si>
  <si>
    <t>be112394-487b-11e4-a99c-0021ccd107f8</t>
  </si>
  <si>
    <t>be123715-487b-11e4-a99c-0021ccd107f8</t>
  </si>
  <si>
    <t>/collections/detail/be157663-487b-11e4-a99c-0021ccd107f8</t>
  </si>
  <si>
    <t>be143341-487b-11e4-a99c-0021ccd107f8</t>
  </si>
  <si>
    <t>be158cce-487b-11e4-a99c-0021ccd107f8</t>
  </si>
  <si>
    <t>/collections/detail/be1fc670-487b-11e4-a99c-0021ccd107f8</t>
  </si>
  <si>
    <t>be1eab20-487b-11e4-a99c-0021ccd107f8</t>
  </si>
  <si>
    <t>be1fdf91-487b-11e4-a99c-0021ccd107f8</t>
  </si>
  <si>
    <t>/profile/detail/bffad2d3-487b-11e4-a99c-0021ccd107f8</t>
  </si>
  <si>
    <t>bff807ac-487b-11e4-a99c-0021ccd107f8</t>
  </si>
  <si>
    <t>bffb1a9f-487b-11e4-a99c-0021ccd107f8</t>
  </si>
  <si>
    <t>/collections/detail/be1bdad7-487b-11e4-a99c-0021ccd107f8</t>
  </si>
  <si>
    <t>be1aba23-487b-11e4-a99c-0021ccd107f8</t>
  </si>
  <si>
    <t>be1bf2a7-487b-11e4-a99c-0021ccd107f8</t>
  </si>
  <si>
    <t>/collections/detail/be180607-487b-11e4-a99c-0021ccd107f8</t>
  </si>
  <si>
    <t>be16f896-487b-11e4-a99c-0021ccd107f8</t>
  </si>
  <si>
    <t>be181cbc-487b-11e4-a99c-0021ccd107f8</t>
  </si>
  <si>
    <t>/collections/detail/be10e0ad-487b-11e4-a99c-0021ccd107f8</t>
  </si>
  <si>
    <t>be0fe867-487b-11e4-a99c-0021ccd107f8</t>
  </si>
  <si>
    <t>be10f586-487b-11e4-a99c-0021ccd107f8</t>
  </si>
  <si>
    <t>/collections/detail/be13eda8-487b-11e4-a99c-0021ccd107f8</t>
  </si>
  <si>
    <t>be13ba47-487b-11e4-a99c-0021ccd107f8</t>
  </si>
  <si>
    <t>be140445-487b-11e4-a99c-0021ccd107f8</t>
  </si>
  <si>
    <t>/collections/detail/bfee62f0-487b-11e4-a99c-0021ccd107f8</t>
  </si>
  <si>
    <t>bfeb7143-487b-11e4-a99c-0021ccd107f8</t>
  </si>
  <si>
    <t>bfeeaf9b-487b-11e4-a99c-0021ccd107f8</t>
  </si>
  <si>
    <t>/profile/detail/bff7959b-487b-11e4-a99c-0021ccd107f8</t>
  </si>
  <si>
    <t>bff763a3-487b-11e4-a99c-0021ccd107f8</t>
  </si>
  <si>
    <t>bff7dc1e-487b-11e4-a99c-0021ccd107f8</t>
  </si>
  <si>
    <t>/profile/detail/bff6f0ee-487b-11e4-a99c-0021ccd107f8</t>
  </si>
  <si>
    <t>bff2a07b-487b-11e4-a99c-0021ccd107f8</t>
  </si>
  <si>
    <t>bff73811-487b-11e4-a99c-0021ccd107f8</t>
  </si>
  <si>
    <t>/payment/detail/bfb1f0dd-487b-11e4-a99c-0021ccd107f8</t>
  </si>
  <si>
    <t>bfada1b6-487b-11e4-a99c-0021ccd107f8</t>
  </si>
  <si>
    <t>bfb23852-487b-11e4-a99c-0021ccd107f8</t>
  </si>
  <si>
    <t>/collections/detail/bff2243b-487b-11e4-a99c-0021ccd107f8</t>
  </si>
  <si>
    <t>bfeede7b-487b-11e4-a99c-0021ccd107f8</t>
  </si>
  <si>
    <t>bff27384-487b-11e4-a99c-0021ccd107f8</t>
  </si>
  <si>
    <t>/collections/detail/be0fa6dc-487b-11e4-a99c-0021ccd107f8</t>
  </si>
  <si>
    <t>be0e8e7c-487b-11e4-a99c-0021ccd107f8</t>
  </si>
  <si>
    <t>be0fbb63-487b-11e4-a99c-0021ccd107f8</t>
  </si>
  <si>
    <t>/profile/detail/bfeaf876-487b-11e4-a99c-0021ccd107f8</t>
  </si>
  <si>
    <t>bfe77d6c-487b-11e4-a99c-0021ccd107f8</t>
  </si>
  <si>
    <t>bfeb4264-487b-11e4-a99c-0021ccd107f8</t>
  </si>
  <si>
    <t>/profile/detail/bfc6b7ca-487b-11e4-a99c-0021ccd107f8</t>
  </si>
  <si>
    <t>bfc2df1d-487b-11e4-a99c-0021ccd107f8</t>
  </si>
  <si>
    <t>bfc70754-487b-11e4-a99c-0021ccd107f8</t>
  </si>
  <si>
    <t>/profile/detail/bfe6f479-487b-11e4-a99c-0021ccd107f8</t>
  </si>
  <si>
    <t>bfe3830e-487b-11e4-a99c-0021ccd107f8</t>
  </si>
  <si>
    <t>bfe74d69-487b-11e4-a99c-0021ccd107f8</t>
  </si>
  <si>
    <t>/profile/detail/bfe29488-487b-11e4-a99c-0021ccd107f8</t>
  </si>
  <si>
    <t>bfcbd609-487b-11e4-a99c-0021ccd107f8</t>
  </si>
  <si>
    <t>bfe3464b-487b-11e4-a99c-0021ccd107f8</t>
  </si>
  <si>
    <t>/profile/detail/bfc2639a-487b-11e4-a99c-0021ccd107f8</t>
  </si>
  <si>
    <t>bfbefe3f-487b-11e4-a99c-0021ccd107f8</t>
  </si>
  <si>
    <t>bfc2b0b5-487b-11e4-a99c-0021ccd107f8</t>
  </si>
  <si>
    <t>/profile/detail/bfb9e8f7-487b-11e4-a99c-0021ccd107f8</t>
  </si>
  <si>
    <t>bfb6bda0-487b-11e4-a99c-0021ccd107f8</t>
  </si>
  <si>
    <t>bfba30cf-487b-11e4-a99c-0021ccd107f8</t>
  </si>
  <si>
    <t>/profile/detail/bfcb3fe7-487b-11e4-a99c-0021ccd107f8</t>
  </si>
  <si>
    <t>bfc73c50-487b-11e4-a99c-0021ccd107f8</t>
  </si>
  <si>
    <t>bfcb8808-487b-11e4-a99c-0021ccd107f8</t>
  </si>
  <si>
    <t>/arrears/detail/be0e32d2-487b-11e4-a99c-0021ccd107f8</t>
  </si>
  <si>
    <t>be0cf555-487b-11e4-a99c-0021ccd107f8</t>
  </si>
  <si>
    <t>be0e47d0-487b-11e4-a99c-0021ccd107f8</t>
  </si>
  <si>
    <t>/collections/detail/bfb6443b-487b-11e4-a99c-0021ccd107f8</t>
  </si>
  <si>
    <t>bfb38615-487b-11e4-a99c-0021ccd107f8</t>
  </si>
  <si>
    <t>bfb69128-487b-11e4-a99c-0021ccd107f8</t>
  </si>
  <si>
    <t>/profile/detail/bfb30aed-487b-11e4-a99c-0021ccd107f8</t>
  </si>
  <si>
    <t>bfb26484-487b-11e4-a99c-0021ccd107f8</t>
  </si>
  <si>
    <t>bfb356cb-487b-11e4-a99c-0021ccd107f8</t>
  </si>
  <si>
    <t>/collections/detail/bfad2d35-487b-11e4-a99c-0021ccd107f8</t>
  </si>
  <si>
    <t>bfaa5324-487b-11e4-a99c-0021ccd107f8</t>
  </si>
  <si>
    <t>bfad7387-487b-11e4-a99c-0021ccd107f8</t>
  </si>
  <si>
    <t>/profile/detail/bfa9e880-487b-11e4-a99c-0021ccd107f8</t>
  </si>
  <si>
    <t>bfa64bd5-487b-11e4-a99c-0021ccd107f8</t>
  </si>
  <si>
    <t>bfaa288c-487b-11e4-a99c-0021ccd107f8</t>
  </si>
  <si>
    <t>/collections/detail/be0c879d-487b-11e4-a99c-0021ccd107f8</t>
  </si>
  <si>
    <t>be0b846f-487b-11e4-a99c-0021ccd107f8</t>
  </si>
  <si>
    <t>be0c9b52-487b-11e4-a99c-0021ccd107f8</t>
  </si>
  <si>
    <t>/collections/detail/bfa5dc24-487b-11e4-a99c-0021ccd107f8</t>
  </si>
  <si>
    <t>bfa31b69-487b-11e4-a99c-0021ccd107f8</t>
  </si>
  <si>
    <t>bfa62118-487b-11e4-a99c-0021ccd107f8</t>
  </si>
  <si>
    <t>/payment/detail/bfa2958a-487b-11e4-a99c-0021ccd107f8</t>
  </si>
  <si>
    <t>bf9fda78-487b-11e4-a99c-0021ccd107f8</t>
  </si>
  <si>
    <t>bfa2db5c-487b-11e4-a99c-0021ccd107f8</t>
  </si>
  <si>
    <t>/profile/detail/bf9f6d8d-487b-11e4-a99c-0021ccd107f8</t>
  </si>
  <si>
    <t>bf9c198b-487b-11e4-a99c-0021ccd107f8</t>
  </si>
  <si>
    <t>bf9faf55-487b-11e4-a99c-0021ccd107f8</t>
  </si>
  <si>
    <t>/profile/detail/bf983fdc-487b-11e4-a99c-0021ccd107f8</t>
  </si>
  <si>
    <t>bf95338d-487b-11e4-a99c-0021ccd107f8</t>
  </si>
  <si>
    <t>bf987e4e-487b-11e4-a99c-0021ccd107f8</t>
  </si>
  <si>
    <t>/collections/detail/be0b40fc-487b-11e4-a99c-0021ccd107f8</t>
  </si>
  <si>
    <t>be0a41f2-487b-11e4-a99c-0021ccd107f8</t>
  </si>
  <si>
    <t>be0b5485-487b-11e4-a99c-0021ccd107f8</t>
  </si>
  <si>
    <t>/profile/detail/bf9babba-487b-11e4-a99c-0021ccd107f8</t>
  </si>
  <si>
    <t>bf98a831-487b-11e4-a99c-0021ccd107f8</t>
  </si>
  <si>
    <t>bf9beba2-487b-11e4-a99c-0021ccd107f8</t>
  </si>
  <si>
    <t>/profile/detail/bf94ca45-487b-11e4-a99c-0021ccd107f8</t>
  </si>
  <si>
    <t>bf915eb5-487b-11e4-a99c-0021ccd107f8</t>
  </si>
  <si>
    <t>bf9507cd-487b-11e4-a99c-0021ccd107f8</t>
  </si>
  <si>
    <t>/collections/detail/bf90f230-487b-11e4-a99c-0021ccd107f8</t>
  </si>
  <si>
    <t>bf8e3de3-487b-11e4-a99c-0021ccd107f8</t>
  </si>
  <si>
    <t>bf913365-487b-11e4-a99c-0021ccd107f8</t>
  </si>
  <si>
    <t>/payment/detail/bf8dc9dd-487b-11e4-a99c-0021ccd107f8</t>
  </si>
  <si>
    <t>bf8c7e2c-487b-11e4-a99c-0021ccd107f8</t>
  </si>
  <si>
    <t>bf8e1069-487b-11e4-a99c-0021ccd107f8</t>
  </si>
  <si>
    <t>/collections/detail/bf8c0ccf-487b-11e4-a99c-0021ccd107f8</t>
  </si>
  <si>
    <t>bf8978b6-487b-11e4-a99c-0021ccd107f8</t>
  </si>
  <si>
    <t>bf8c5130-487b-11e4-a99c-0021ccd107f8</t>
  </si>
  <si>
    <t>/collections/detail/bf89057d-487b-11e4-a99c-0021ccd107f8</t>
  </si>
  <si>
    <t>bf867153-487b-11e4-a99c-0021ccd107f8</t>
  </si>
  <si>
    <t>bf894c3e-487b-11e4-a99c-0021ccd107f8</t>
  </si>
  <si>
    <t>/profile/detail/bf85fa45-487b-11e4-a99c-0021ccd107f8</t>
  </si>
  <si>
    <t>bf85c6e0-487b-11e4-a99c-0021ccd107f8</t>
  </si>
  <si>
    <t>bf863eb2-487b-11e4-a99c-0021ccd107f8</t>
  </si>
  <si>
    <t>/collections/detail/bf8557a1-487b-11e4-a99c-0021ccd107f8</t>
  </si>
  <si>
    <t>bf828610-487b-11e4-a99c-0021ccd107f8</t>
  </si>
  <si>
    <t>bf859873-487b-11e4-a99c-0021ccd107f8</t>
  </si>
  <si>
    <t>/collections/detail/be0a0149-487b-11e4-a99c-0021ccd107f8</t>
  </si>
  <si>
    <t>be090098-487b-11e4-a99c-0021ccd107f8</t>
  </si>
  <si>
    <t>be0a132b-487b-11e4-a99c-0021ccd107f8</t>
  </si>
  <si>
    <t>/profile/detail/bf821b22-487b-11e4-a99c-0021ccd107f8</t>
  </si>
  <si>
    <t>bf7e78d6-487b-11e4-a99c-0021ccd107f8</t>
  </si>
  <si>
    <t>bf825ab7-487b-11e4-a99c-0021ccd107f8</t>
  </si>
  <si>
    <t>/profile/detail/bf7e1261-487b-11e4-a99c-0021ccd107f8</t>
  </si>
  <si>
    <t>bf7d6dc9-487b-11e4-a99c-0021ccd107f8</t>
  </si>
  <si>
    <t>bf7e4c20-487b-11e4-a99c-0021ccd107f8</t>
  </si>
  <si>
    <t>/collections/detail/bf7cfc71-487b-11e4-a99c-0021ccd107f8</t>
  </si>
  <si>
    <t>bf79e94d-487b-11e4-a99c-0021ccd107f8</t>
  </si>
  <si>
    <t>bf7d41af-487b-11e4-a99c-0021ccd107f8</t>
  </si>
  <si>
    <t>/collections/detail/be08bf2f-487b-11e4-a99c-0021ccd107f8</t>
  </si>
  <si>
    <t>be07c412-487b-11e4-a99c-0021ccd107f8</t>
  </si>
  <si>
    <t>be08d1b0-487b-11e4-a99c-0021ccd107f8</t>
  </si>
  <si>
    <t>/collections/detail/bf797b1d-487b-11e4-a99c-0021ccd107f8</t>
  </si>
  <si>
    <t>bf765f92-487b-11e4-a99c-0021ccd107f8</t>
  </si>
  <si>
    <t>bf79bae8-487b-11e4-a99c-0021ccd107f8</t>
  </si>
  <si>
    <t>/profile/detail/bf75f575-487b-11e4-a99c-0021ccd107f8</t>
  </si>
  <si>
    <t>bf72b12f-487b-11e4-a99c-0021ccd107f8</t>
  </si>
  <si>
    <t>bf762ead-487b-11e4-a99c-0021ccd107f8</t>
  </si>
  <si>
    <t>/collections/detail/bf6b8849-487b-11e4-a99c-0021ccd107f8</t>
  </si>
  <si>
    <t>bf68e839-487b-11e4-a99c-0021ccd107f8</t>
  </si>
  <si>
    <t>bf6bc839-487b-11e4-a99c-0021ccd107f8</t>
  </si>
  <si>
    <t>/collections/detail/be0782ce-487b-11e4-a99c-0021ccd107f8</t>
  </si>
  <si>
    <t>be07510f-487b-11e4-a99c-0021ccd107f8</t>
  </si>
  <si>
    <t>be07955b-487b-11e4-a99c-0021ccd107f8</t>
  </si>
  <si>
    <t>/profile/detail/bf7247ae-487b-11e4-a99c-0021ccd107f8</t>
  </si>
  <si>
    <t>bf6f052b-487b-11e4-a99c-0021ccd107f8</t>
  </si>
  <si>
    <t>bf72804e-487b-11e4-a99c-0021ccd107f8</t>
  </si>
  <si>
    <t>/collections/detail/be070c22-487b-11e4-a99c-0021ccd107f8</t>
  </si>
  <si>
    <t>be0610bc-487b-11e4-a99c-0021ccd107f8</t>
  </si>
  <si>
    <t>be071f2b-487b-11e4-a99c-0021ccd107f8</t>
  </si>
  <si>
    <t>/collections/detail/bf6e96e7-487b-11e4-a99c-0021ccd107f8</t>
  </si>
  <si>
    <t>bf6bf6eb-487b-11e4-a99c-0021ccd107f8</t>
  </si>
  <si>
    <t>bf6ed633-487b-11e4-a99c-0021ccd107f8</t>
  </si>
  <si>
    <t>/collections/detail/bf61028b-487b-11e4-a99c-0021ccd107f8</t>
  </si>
  <si>
    <t>bf5e41f5-487b-11e4-a99c-0021ccd107f8</t>
  </si>
  <si>
    <t>bf614185-487b-11e4-a99c-0021ccd107f8</t>
  </si>
  <si>
    <t>/profile/detail/bf688268-487b-11e4-a99c-0021ccd107f8</t>
  </si>
  <si>
    <t>bf64d83d-487b-11e4-a99c-0021ccd107f8</t>
  </si>
  <si>
    <t>bf68bcd0-487b-11e4-a99c-0021ccd107f8</t>
  </si>
  <si>
    <t>/profile/detail/bf64718e-487b-11e4-a99c-0021ccd107f8</t>
  </si>
  <si>
    <t>bf6171b1-487b-11e4-a99c-0021ccd107f8</t>
  </si>
  <si>
    <t>bf64a92c-487b-11e4-a99c-0021ccd107f8</t>
  </si>
  <si>
    <t>/collections/detail/be05d0d0-487b-11e4-a99c-0021ccd107f8</t>
  </si>
  <si>
    <t>be04ae8e-487b-11e4-a99c-0021ccd107f8</t>
  </si>
  <si>
    <t>be05e2ba-487b-11e4-a99c-0021ccd107f8</t>
  </si>
  <si>
    <t>/profile/detail/bf59b53e-487b-11e4-a99c-0021ccd107f8</t>
  </si>
  <si>
    <t>bf553398-487b-11e4-a99c-0021ccd107f8</t>
  </si>
  <si>
    <t>bf59ecd3-487b-11e4-a99c-0021ccd107f8</t>
  </si>
  <si>
    <t>/profile/detail/bf5de0a6-487b-11e4-a99c-0021ccd107f8</t>
  </si>
  <si>
    <t>bf5abc49-487b-11e4-a99c-0021ccd107f8</t>
  </si>
  <si>
    <t>bf5e19a5-487b-11e4-a99c-0021ccd107f8</t>
  </si>
  <si>
    <t>/profile/detail/bf5a5514-487b-11e4-a99c-0021ccd107f8</t>
  </si>
  <si>
    <t>bf5a1f6b-487b-11e4-a99c-0021ccd107f8</t>
  </si>
  <si>
    <t>bf5a8c90-487b-11e4-a99c-0021ccd107f8</t>
  </si>
  <si>
    <t>/payment/detail/be04693f-487b-11e4-a99c-0021ccd107f8</t>
  </si>
  <si>
    <t>be0395dc-487b-11e4-a99c-0021ccd107f8</t>
  </si>
  <si>
    <t>be047f82-487b-11e4-a99c-0021ccd107f8</t>
  </si>
  <si>
    <t>/profile/detail/bf54c967-487b-11e4-a99c-0021ccd107f8</t>
  </si>
  <si>
    <t>bf4fc27e-487b-11e4-a99c-0021ccd107f8</t>
  </si>
  <si>
    <t>bf550152-487b-11e4-a99c-0021ccd107f8</t>
  </si>
  <si>
    <t>/profile/detail/bf4f5886-487b-11e4-a99c-0021ccd107f8</t>
  </si>
  <si>
    <t>bf47264e-487b-11e4-a99c-0021ccd107f8</t>
  </si>
  <si>
    <t>bf4f8f08-487b-11e4-a99c-0021ccd107f8</t>
  </si>
  <si>
    <t>/collections/detail/be034161-487b-11e4-a99c-0021ccd107f8</t>
  </si>
  <si>
    <t>be007713-487b-11e4-a99c-0021ccd107f8</t>
  </si>
  <si>
    <t>be03516a-487b-11e4-a99c-0021ccd107f8</t>
  </si>
  <si>
    <t>/profile/detail/bf46bf5a-487b-11e4-a99c-0021ccd107f8</t>
  </si>
  <si>
    <t>bf39c16a-487b-11e4-a99c-0021ccd107f8</t>
  </si>
  <si>
    <t>bf46f601-487b-11e4-a99c-0021ccd107f8</t>
  </si>
  <si>
    <t>/profile/detail/bf395c9c-487b-11e4-a99c-0021ccd107f8</t>
  </si>
  <si>
    <t>bf340512-487b-11e4-a99c-0021ccd107f8</t>
  </si>
  <si>
    <t>bf399095-487b-11e4-a99c-0021ccd107f8</t>
  </si>
  <si>
    <t>/profile/detail/bf263878-487b-11e4-a99c-0021ccd107f8</t>
  </si>
  <si>
    <t>bf1c854d-487b-11e4-a99c-0021ccd107f8</t>
  </si>
  <si>
    <t>bf266aae-487b-11e4-a99c-0021ccd107f8</t>
  </si>
  <si>
    <t>/collections/detail/bf3236b2-487b-11e4-a99c-0021ccd107f8</t>
  </si>
  <si>
    <t>bf2d9a81-487b-11e4-a99c-0021ccd107f8</t>
  </si>
  <si>
    <t>bf326ed6-487b-11e4-a99c-0021ccd107f8</t>
  </si>
  <si>
    <t>/profile/detail/bf123540-487b-11e4-a99c-0021ccd107f8</t>
  </si>
  <si>
    <t>bf09cbb1-487b-11e4-a99c-0021ccd107f8</t>
  </si>
  <si>
    <t>bf129f5d-487b-11e4-a99c-0021ccd107f8</t>
  </si>
  <si>
    <t>/profile/detail/bf2c0f0d-487b-11e4-a99c-0021ccd107f8</t>
  </si>
  <si>
    <t>bf269e07-487b-11e4-a99c-0021ccd107f8</t>
  </si>
  <si>
    <t>bf2c43c3-487b-11e4-a99c-0021ccd107f8</t>
  </si>
  <si>
    <t>/profile/detail/bf1c2182-487b-11e4-a99c-0021ccd107f8</t>
  </si>
  <si>
    <t>bf13cd80-487b-11e4-a99c-0021ccd107f8</t>
  </si>
  <si>
    <t>bf1c559c-487b-11e4-a99c-0021ccd107f8</t>
  </si>
  <si>
    <t>/profile/detail/bf096e3f-487b-11e4-a99c-0021ccd107f8</t>
  </si>
  <si>
    <t>bf02d1e4-487b-11e4-a99c-0021ccd107f8</t>
  </si>
  <si>
    <t>bf099d7d-487b-11e4-a99c-0021ccd107f8</t>
  </si>
  <si>
    <t>/collections/detail/be003bbe-487b-11e4-a99c-0021ccd107f8</t>
  </si>
  <si>
    <t>bdff4dab-487b-11e4-a99c-0021ccd107f8</t>
  </si>
  <si>
    <t>be004cd6-487b-11e4-a99c-0021ccd107f8</t>
  </si>
  <si>
    <t>/collections/detail/bdff0d50-487b-11e4-a99c-0021ccd107f8</t>
  </si>
  <si>
    <t>bdfe1b68-487b-11e4-a99c-0021ccd107f8</t>
  </si>
  <si>
    <t>bdff1e16-487b-11e4-a99c-0021ccd107f8</t>
  </si>
  <si>
    <t>/project/detail/bdfc4f36-487b-11e4-a99c-0021ccd107f8</t>
  </si>
  <si>
    <t>bdfc4f36-487b-11e4-a99c-0021ccd107f8</t>
  </si>
  <si>
    <t>bdfc540a-487b-11e4-a99c-0021ccd107f8</t>
  </si>
  <si>
    <t>/collections/detail/bdfddb7c-487b-11e4-a99c-0021ccd107f8</t>
  </si>
  <si>
    <t>bdfda7a8-487b-11e4-a99c-0021ccd107f8</t>
  </si>
  <si>
    <t>bdfdec42-487b-11e4-a99c-0021ccd107f8</t>
  </si>
  <si>
    <t>/collections/detail/bdfc0e8e-487b-11e4-a99c-0021ccd107f8</t>
  </si>
  <si>
    <t>bdfaeae7-487b-11e4-a99c-0021ccd107f8</t>
  </si>
  <si>
    <t>bdfc1f16-487b-11e4-a99c-0021ccd107f8</t>
  </si>
  <si>
    <t>/collections/detail/bdfd6984-487b-11e4-a99c-0021ccd107f8</t>
  </si>
  <si>
    <t>bdfc80c8-487b-11e4-a99c-0021ccd107f8</t>
  </si>
  <si>
    <t>bdfd7a42-487b-11e4-a99c-0021ccd107f8</t>
  </si>
  <si>
    <t>/collections/detail/bf025f3f-487b-11e4-a99c-0021ccd107f8</t>
  </si>
  <si>
    <t>befcfdf5-487b-11e4-a99c-0021ccd107f8</t>
  </si>
  <si>
    <t>bf029ea0-487b-11e4-a99c-0021ccd107f8</t>
  </si>
  <si>
    <t>/collections/detail/bdfaaf60-487b-11e4-a99c-0021ccd107f8</t>
  </si>
  <si>
    <t>bdf9ce0d-487b-11e4-a99c-0021ccd107f8</t>
  </si>
  <si>
    <t>bdfabf4d-487b-11e4-a99c-0021ccd107f8</t>
  </si>
  <si>
    <t>/collections/detail/bdf9934f-487b-11e4-a99c-0021ccd107f8</t>
  </si>
  <si>
    <t>bdf96174-487b-11e4-a99c-0021ccd107f8</t>
  </si>
  <si>
    <t>bdf9a277-487b-11e4-a99c-0021ccd107f8</t>
  </si>
  <si>
    <t>/collections/detail/bdf925d9-487b-11e4-a99c-0021ccd107f8</t>
  </si>
  <si>
    <t>bdf839ec-487b-11e4-a99c-0021ccd107f8</t>
  </si>
  <si>
    <t>bdf935b1-487b-11e4-a99c-0021ccd107f8</t>
  </si>
  <si>
    <t>/profile/detail/befb39f1-487b-11e4-a99c-0021ccd107f8</t>
  </si>
  <si>
    <t>bef3a410-487b-11e4-a99c-0021ccd107f8</t>
  </si>
  <si>
    <t>befb6ad2-487b-11e4-a99c-0021ccd107f8</t>
  </si>
  <si>
    <t>/profile/detail/bef30f37-487b-11e4-a99c-0021ccd107f8</t>
  </si>
  <si>
    <t>beeb5132-487b-11e4-a99c-0021ccd107f8</t>
  </si>
  <si>
    <t>bef3407e-487b-11e4-a99c-0021ccd107f8</t>
  </si>
  <si>
    <t>/profile/detail/beeaeff3-487b-11e4-a99c-0021ccd107f8</t>
  </si>
  <si>
    <t>bee3da3b-487b-11e4-a99c-0021ccd107f8</t>
  </si>
  <si>
    <t>beeb213f-487b-11e4-a99c-0021ccd107f8</t>
  </si>
  <si>
    <t>/collections/detail/bdf7fdb0-487b-11e4-a99c-0021ccd107f8</t>
  </si>
  <si>
    <t>bdf712b1-487b-11e4-a99c-0021ccd107f8</t>
  </si>
  <si>
    <t>bdf80cd8-487b-11e4-a99c-0021ccd107f8</t>
  </si>
  <si>
    <t>/collections/detail/bee372bc-487b-11e4-a99c-0021ccd107f8</t>
  </si>
  <si>
    <t>bedcdb0f-487b-11e4-a99c-0021ccd107f8</t>
  </si>
  <si>
    <t>bee3a8be-487b-11e4-a99c-0021ccd107f8</t>
  </si>
  <si>
    <t>/profile/detail/bedb3aa1-487b-11e4-a99c-0021ccd107f8</t>
  </si>
  <si>
    <t>bed0772a-487b-11e4-a99c-0021ccd107f8</t>
  </si>
  <si>
    <t>bedb6c2f-487b-11e4-a99c-0021ccd107f8</t>
  </si>
  <si>
    <t>/profile/detail/becf22b7-487b-11e4-a99c-0021ccd107f8</t>
  </si>
  <si>
    <t>bec8c1f3-487b-11e4-a99c-0021ccd107f8</t>
  </si>
  <si>
    <t>becf5604-487b-11e4-a99c-0021ccd107f8</t>
  </si>
  <si>
    <t>/collections/detail/bdf6d2c1-487b-11e4-a99c-0021ccd107f8</t>
  </si>
  <si>
    <t>bdf5ee2d-487b-11e4-a99c-0021ccd107f8</t>
  </si>
  <si>
    <t>bdf6e0d2-487b-11e4-a99c-0021ccd107f8</t>
  </si>
  <si>
    <t>/profile/detail/bea76485-487b-11e4-a99c-0021ccd107f8</t>
  </si>
  <si>
    <t>bea0c509-487b-11e4-a99c-0021ccd107f8</t>
  </si>
  <si>
    <t>bea79163-487b-11e4-a99c-0021ccd107f8</t>
  </si>
  <si>
    <t>/profile/detail/bec740aa-487b-11e4-a99c-0021ccd107f8</t>
  </si>
  <si>
    <t>bec18cee-487b-11e4-a99c-0021ccd107f8</t>
  </si>
  <si>
    <t>bec76ec4-487b-11e4-a99c-0021ccd107f8</t>
  </si>
  <si>
    <t>/collections/detail/bebfb746-487b-11e4-a99c-0021ccd107f8</t>
  </si>
  <si>
    <t>bebb209e-487b-11e4-a99c-0021ccd107f8</t>
  </si>
  <si>
    <t>bebfeddd-487b-11e4-a99c-0021ccd107f8</t>
  </si>
  <si>
    <t>/profile/detail/beb9d19f-487b-11e4-a99c-0021ccd107f8</t>
  </si>
  <si>
    <t>beb47421-487b-11e4-a99c-0021ccd107f8</t>
  </si>
  <si>
    <t>beba0020-487b-11e4-a99c-0021ccd107f8</t>
  </si>
  <si>
    <t>/profile/detail/be99f40c-487b-11e4-a99c-0021ccd107f8</t>
  </si>
  <si>
    <t>be920b74-487b-11e4-a99c-0021ccd107f8</t>
  </si>
  <si>
    <t>be9a1f82-487b-11e4-a99c-0021ccd107f8</t>
  </si>
  <si>
    <t>/profile/detail/bea06c4e-487b-11e4-a99c-0021ccd107f8</t>
  </si>
  <si>
    <t>be9a80b4-487b-11e4-a99c-0021ccd107f8</t>
  </si>
  <si>
    <t>bea09589-487b-11e4-a99c-0021ccd107f8</t>
  </si>
  <si>
    <t>/collections/detail/beb40ba7-487b-11e4-a99c-0021ccd107f8</t>
  </si>
  <si>
    <t>beae7a5d-487b-11e4-a99c-0021ccd107f8</t>
  </si>
  <si>
    <t>beb44049-487b-11e4-a99c-0021ccd107f8</t>
  </si>
  <si>
    <t>/collections/detail/beae0d76-487b-11e4-a99c-0021ccd107f8</t>
  </si>
  <si>
    <t>bea91c69-487b-11e4-a99c-0021ccd107f8</t>
  </si>
  <si>
    <t>beae459f-487b-11e4-a99c-0021ccd107f8</t>
  </si>
  <si>
    <t>/payment/detail/bdf5b51e-487b-11e4-a99c-0021ccd107f8</t>
  </si>
  <si>
    <t>bdf50738-487b-11e4-a99c-0021ccd107f8</t>
  </si>
  <si>
    <t>bdf5c37c-487b-11e4-a99c-0021ccd107f8</t>
  </si>
  <si>
    <t>/profile/detail/be91b5b1-487b-11e4-a99c-0021ccd107f8</t>
  </si>
  <si>
    <t>be8bbcae-487b-11e4-a99c-0021ccd107f8</t>
  </si>
  <si>
    <t>be91df90-487b-11e4-a99c-0021ccd107f8</t>
  </si>
  <si>
    <t>/payment/detail/bdf4cb5b-487b-11e4-a99c-0021ccd107f8</t>
  </si>
  <si>
    <t>bdf449a8-487b-11e4-a99c-0021ccd107f8</t>
  </si>
  <si>
    <t>bdf4d9a1-487b-11e4-a99c-0021ccd107f8</t>
  </si>
  <si>
    <t>/profile/detail/be85ffb2-487b-11e4-a99c-0021ccd107f8</t>
  </si>
  <si>
    <t>be80ce87-487b-11e4-a99c-0021ccd107f8</t>
  </si>
  <si>
    <t>be862a8f-487b-11e4-a99c-0021ccd107f8</t>
  </si>
  <si>
    <t>/profile/detail/be7c6fb1-487b-11e4-a99c-0021ccd107f8</t>
  </si>
  <si>
    <t>be79952d-487b-11e4-a99c-0021ccd107f8</t>
  </si>
  <si>
    <t>be7c9439-487b-11e4-a99c-0021ccd107f8</t>
  </si>
  <si>
    <t>/profile/detail/be7941b5-487b-11e4-a99c-0021ccd107f8</t>
  </si>
  <si>
    <t>be76c212-487b-11e4-a99c-0021ccd107f8</t>
  </si>
  <si>
    <t>be796924-487b-11e4-a99c-0021ccd107f8</t>
  </si>
  <si>
    <t>/profile/detail/be8b6429-487b-11e4-a99c-0021ccd107f8</t>
  </si>
  <si>
    <t>be8659c9-487b-11e4-a99c-0021ccd107f8</t>
  </si>
  <si>
    <t>be8b8d8d-487b-11e4-a99c-0021ccd107f8</t>
  </si>
  <si>
    <t>/payment/detail/be806797-487b-11e4-a99c-0021ccd107f8</t>
  </si>
  <si>
    <t>be7cbf50-487b-11e4-a99c-0021ccd107f8</t>
  </si>
  <si>
    <t>be809aa2-487b-11e4-a99c-0021ccd107f8</t>
  </si>
  <si>
    <t>/profile/detail/be735c57-487b-11e4-a99c-0021ccd107f8</t>
  </si>
  <si>
    <t>be70ee4f-487b-11e4-a99c-0021ccd107f8</t>
  </si>
  <si>
    <t>be7382d0-487b-11e4-a99c-0021ccd107f8</t>
  </si>
  <si>
    <t>/profile/detail/be6401a0-487b-11e4-a99c-0021ccd107f8</t>
  </si>
  <si>
    <t>be63c8f0-487b-11e4-a99c-0021ccd107f8</t>
  </si>
  <si>
    <t>be642406-487b-11e4-a99c-0021ccd107f8</t>
  </si>
  <si>
    <t>/payment/detail/bdf3def7-487b-11e4-a99c-0021ccd107f8</t>
  </si>
  <si>
    <t>bdf2ff3a-487b-11e4-a99c-0021ccd107f8</t>
  </si>
  <si>
    <t>bdf3ed8f-487b-11e4-a99c-0021ccd107f8</t>
  </si>
  <si>
    <t>/collections/detail/be766a18-487b-11e4-a99c-0021ccd107f8</t>
  </si>
  <si>
    <t>be73aff8-487b-11e4-a99c-0021ccd107f8</t>
  </si>
  <si>
    <t>be769568-487b-11e4-a99c-0021ccd107f8</t>
  </si>
  <si>
    <t>/profile/detail/be70995e-487b-11e4-a99c-0021ccd107f8</t>
  </si>
  <si>
    <t>be6e14f7-487b-11e4-a99c-0021ccd107f8</t>
  </si>
  <si>
    <t>be70bf6c-487b-11e4-a99c-0021ccd107f8</t>
  </si>
  <si>
    <t>/profile/detail/be6dbdcf-487b-11e4-a99c-0021ccd107f8</t>
  </si>
  <si>
    <t>be6af88e-487b-11e4-a99c-0021ccd107f8</t>
  </si>
  <si>
    <t>be6de3fd-487b-11e4-a99c-0021ccd107f8</t>
  </si>
  <si>
    <t>/profile/detail/be6aa891-487b-11e4-a99c-0021ccd107f8</t>
  </si>
  <si>
    <t>be67440b-487b-11e4-a99c-0021ccd107f8</t>
  </si>
  <si>
    <t>be6acc54-487b-11e4-a99c-0021ccd107f8</t>
  </si>
  <si>
    <t>/profile/detail/be66d070-487b-11e4-a99c-0021ccd107f8</t>
  </si>
  <si>
    <t>be64516c-487b-11e4-a99c-0021ccd107f8</t>
  </si>
  <si>
    <t>be6713da-487b-11e4-a99c-0021ccd107f8</t>
  </si>
  <si>
    <t>/profile/detail/be6377a2-487b-11e4-a99c-0021ccd107f8</t>
  </si>
  <si>
    <t>be60b813-487b-11e4-a99c-0021ccd107f8</t>
  </si>
  <si>
    <t>be639ade-487b-11e4-a99c-0021ccd107f8</t>
  </si>
  <si>
    <t>/collections/detail/bdf2bf99-487b-11e4-a99c-0021ccd107f8</t>
  </si>
  <si>
    <t>bdf1d37a-487b-11e4-a99c-0021ccd107f8</t>
  </si>
  <si>
    <t>bdf2cd4b-487b-11e4-a99c-0021ccd107f8</t>
  </si>
  <si>
    <t>/collections/detail/bdf19bb0-487b-11e4-a99c-0021ccd107f8</t>
  </si>
  <si>
    <t>bdf0b615-487b-11e4-a99c-0021ccd107f8</t>
  </si>
  <si>
    <t>bdf1a868-487b-11e4-a99c-0021ccd107f8</t>
  </si>
  <si>
    <t>/collections/detail/be5d7341-487b-11e4-a99c-0021ccd107f8</t>
  </si>
  <si>
    <t>be5b5a16-487b-11e4-a99c-0021ccd107f8</t>
  </si>
  <si>
    <t>be5d97d9-487b-11e4-a99c-0021ccd107f8</t>
  </si>
  <si>
    <t>/profile/detail/be5b0c64-487b-11e4-a99c-0021ccd107f8</t>
  </si>
  <si>
    <t>be585ad1-487b-11e4-a99c-0021ccd107f8</t>
  </si>
  <si>
    <t>be5b2b09-487b-11e4-a99c-0021ccd107f8</t>
  </si>
  <si>
    <t>/collections/detail/be60608c-487b-11e4-a99c-0021ccd107f8</t>
  </si>
  <si>
    <t>be5dc7d0-487b-11e4-a99c-0021ccd107f8</t>
  </si>
  <si>
    <t>be608835-487b-11e4-a99c-0021ccd107f8</t>
  </si>
  <si>
    <t>/profile/detail/be57ffbb-487b-11e4-a99c-0021ccd107f8</t>
  </si>
  <si>
    <t>be54e2d7-487b-11e4-a99c-0021ccd107f8</t>
  </si>
  <si>
    <t>be581da3-487b-11e4-a99c-0021ccd107f8</t>
  </si>
  <si>
    <t>/profile/detail/be4b6a8a-487b-11e4-a99c-0021ccd107f8</t>
  </si>
  <si>
    <t>be488bd6-487b-11e4-a99c-0021ccd107f8</t>
  </si>
  <si>
    <t>be4b87c6-487b-11e4-a99c-0021ccd107f8</t>
  </si>
  <si>
    <t>/profile/detail/be543d89-487b-11e4-a99c-0021ccd107f8</t>
  </si>
  <si>
    <t>be50e23c-487b-11e4-a99c-0021ccd107f8</t>
  </si>
  <si>
    <t>be545c68-487b-11e4-a99c-0021ccd107f8</t>
  </si>
  <si>
    <t>/collections/detail/bdf07c76-487b-11e4-a99c-0021ccd107f8</t>
  </si>
  <si>
    <t>bdef7f27-487b-11e4-a99c-0021ccd107f8</t>
  </si>
  <si>
    <t>bdf089a5-487b-11e4-a99c-0021ccd107f8</t>
  </si>
  <si>
    <t>/collections/detail/be4da612-487b-11e4-a99c-0021ccd107f8</t>
  </si>
  <si>
    <t>be4bb612-487b-11e4-a99c-0021ccd107f8</t>
  </si>
  <si>
    <t>be4dc9a8-487b-11e4-a99c-0021ccd107f8</t>
  </si>
  <si>
    <t>/profile/detail/be5092df-487b-11e4-a99c-0021ccd107f8</t>
  </si>
  <si>
    <t>be4df98a-487b-11e4-a99c-0021ccd107f8</t>
  </si>
  <si>
    <t>be50af66-487b-11e4-a99c-0021ccd107f8</t>
  </si>
  <si>
    <t>/profile/detail/be481203-487b-11e4-a99c-0021ccd107f8</t>
  </si>
  <si>
    <t>be458dcd-487b-11e4-a99c-0021ccd107f8</t>
  </si>
  <si>
    <t>be482f3a-487b-11e4-a99c-0021ccd107f8</t>
  </si>
  <si>
    <t>/collections/detail/bdef0b3a-487b-11e4-a99c-0021ccd107f8</t>
  </si>
  <si>
    <t>bdee63b2-487b-11e4-a99c-0021ccd107f8</t>
  </si>
  <si>
    <t>bdef17fe-487b-11e4-a99c-0021ccd107f8</t>
  </si>
  <si>
    <t>/project/detail/bdef4b2e-487b-11e4-a99c-0021ccd107f8</t>
  </si>
  <si>
    <t>bdef4b2e-487b-11e4-a99c-0021ccd107f8</t>
  </si>
  <si>
    <t>bdef5012-487b-11e4-a99c-0021ccd107f8</t>
  </si>
  <si>
    <t>/project/detail/be455992-487b-11e4-a99c-0021ccd107f8</t>
  </si>
  <si>
    <t>be455992-487b-11e4-a99c-0021ccd107f8</t>
  </si>
  <si>
    <t>be455e87-487b-11e4-a99c-0021ccd107f8</t>
  </si>
  <si>
    <t>/collections/detail/bdee2ae9-487b-11e4-a99c-0021ccd107f8</t>
  </si>
  <si>
    <t>bded8598-487b-11e4-a99c-0021ccd107f8</t>
  </si>
  <si>
    <t>bdee3675-487b-11e4-a99c-0021ccd107f8</t>
  </si>
  <si>
    <t>/project/detail/bded5176-487b-11e4-a99c-0021ccd107f8</t>
  </si>
  <si>
    <t>bded5176-487b-11e4-a99c-0021ccd107f8</t>
  </si>
  <si>
    <t>bded56dd-487b-11e4-a99c-0021ccd107f8</t>
  </si>
  <si>
    <t>/collections/detail/be42583f-487b-11e4-a99c-0021ccd107f8</t>
  </si>
  <si>
    <t>be406abb-487b-11e4-a99c-0021ccd107f8</t>
  </si>
  <si>
    <t>be4279a2-487b-11e4-a99c-0021ccd107f8</t>
  </si>
  <si>
    <t>/collections/detail/be450970-487b-11e4-a99c-0021ccd107f8</t>
  </si>
  <si>
    <t>be42a7d6-487b-11e4-a99c-0021ccd107f8</t>
  </si>
  <si>
    <t>be452b04-487b-11e4-a99c-0021ccd107f8</t>
  </si>
  <si>
    <t>/profile/detail/be402268-487b-11e4-a99c-0021ccd107f8</t>
  </si>
  <si>
    <t>be3dbb87-487b-11e4-a99c-0021ccd107f8</t>
  </si>
  <si>
    <t>be403dbb-487b-11e4-a99c-0021ccd107f8</t>
  </si>
  <si>
    <t>/collections/detail/bded147d-487b-11e4-a99c-0021ccd107f8</t>
  </si>
  <si>
    <t>bdec5ce4-487b-11e4-a99c-0021ccd107f8</t>
  </si>
  <si>
    <t>bded1f9a-487b-11e4-a99c-0021ccd107f8</t>
  </si>
  <si>
    <t>/arrears/detail/bdec170d-487b-11e4-a99c-0021ccd107f8</t>
  </si>
  <si>
    <t>bdeb3b90-487b-11e4-a99c-0021ccd107f8</t>
  </si>
  <si>
    <t>bdec2bad-487b-11e4-a99c-0021ccd107f8</t>
  </si>
  <si>
    <t>/collections/detail/bdeb023c-487b-11e4-a99c-0021ccd107f8</t>
  </si>
  <si>
    <t>bde9f127-487b-11e4-a99c-0021ccd107f8</t>
  </si>
  <si>
    <t>bdeb0e12-487b-11e4-a99c-0021ccd107f8</t>
  </si>
  <si>
    <t>/collections/detail/bde99667-487b-11e4-a99c-0021ccd107f8</t>
  </si>
  <si>
    <t>bde8be5d-487b-11e4-a99c-0021ccd107f8</t>
  </si>
  <si>
    <t>bde9aa87-487b-11e4-a99c-0021ccd107f8</t>
  </si>
  <si>
    <t>/collections/detail/be3d6725-487b-11e4-a99c-0021ccd107f8</t>
  </si>
  <si>
    <t>be3b2880-487b-11e4-a99c-0021ccd107f8</t>
  </si>
  <si>
    <t>be3d8822-487b-11e4-a99c-0021ccd107f8</t>
  </si>
  <si>
    <t>SY2010-03</t>
    <phoneticPr fontId="2" type="noConversion"/>
  </si>
  <si>
    <t>SY2010-03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</si>
</sst>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/d/yyyy\ h:mm:ss"/>
    <numFmt numFmtId="177" formatCode="[=0]0;0.00"/>
    <numFmt numFmtId="178" formatCode="[=0]0;0.0"/>
    <numFmt numFmtId="179" formatCode="[=0]0;0.0000"/>
    <numFmt numFmtId="180" formatCode="yyyy\-mm\-dd"/>
    <numFmt numFmtId="181" formatCode="#.0000"/>
  </numFmts>
  <fonts count="12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" fontId="0" fillId="0" borderId="0" xfId="0" applyNumberFormat="1">
      <alignment vertical="center"/>
    </xf>
    <xf numFmtId="181" fontId="4" fillId="3" borderId="0" xfId="0" applyNumberFormat="1" applyFont="1" applyFill="1" applyBorder="1" applyAlignment="1">
      <alignment vertical="center"/>
    </xf>
    <xf numFmtId="181" fontId="4" fillId="3" borderId="0" xfId="1" applyNumberFormat="1" applyFont="1" applyFill="1" applyBorder="1" applyAlignment="1">
      <alignment vertical="center"/>
    </xf>
    <xf numFmtId="181" fontId="0" fillId="0" borderId="0" xfId="0" applyNumberFormat="1" applyAlignment="1">
      <alignment vertical="center"/>
    </xf>
    <xf numFmtId="181" fontId="5" fillId="0" borderId="1" xfId="0" applyNumberFormat="1" applyFont="1" applyBorder="1" applyProtection="1">
      <alignment vertical="center"/>
      <protection locked="0"/>
    </xf>
    <xf numFmtId="181" fontId="5" fillId="0" borderId="0" xfId="0" applyNumberFormat="1" applyFont="1">
      <alignment vertical="center"/>
    </xf>
    <xf numFmtId="181" fontId="7" fillId="0" borderId="0" xfId="0" applyNumberFormat="1" applyFont="1">
      <alignment vertical="center"/>
    </xf>
    <xf numFmtId="181" fontId="4" fillId="0" borderId="1" xfId="0" applyNumberFormat="1" applyFont="1" applyBorder="1" applyProtection="1">
      <alignment vertical="center"/>
      <protection locked="0"/>
    </xf>
    <xf numFmtId="181" fontId="5" fillId="0" borderId="1" xfId="0" applyNumberFormat="1" applyFont="1" applyBorder="1" applyAlignment="1" applyProtection="1">
      <alignment horizontal="right" vertical="center"/>
      <protection locked="0"/>
    </xf>
    <xf numFmtId="180" fontId="5" fillId="0" borderId="1" xfId="0" applyNumberFormat="1" applyFont="1" applyBorder="1" applyProtection="1">
      <alignment vertical="center"/>
      <protection locked="0"/>
    </xf>
    <xf numFmtId="181" fontId="5" fillId="0" borderId="1" xfId="1" applyNumberFormat="1" applyFont="1" applyBorder="1" applyProtection="1">
      <alignment vertical="center"/>
      <protection locked="0"/>
    </xf>
    <xf numFmtId="10" fontId="5" fillId="0" borderId="1" xfId="1" applyNumberFormat="1" applyFont="1" applyBorder="1" applyProtection="1">
      <alignment vertical="center"/>
      <protection locked="0"/>
    </xf>
    <xf numFmtId="181" fontId="5" fillId="0" borderId="1" xfId="0" applyNumberFormat="1" applyFont="1" applyFill="1" applyBorder="1" applyProtection="1">
      <alignment vertical="center"/>
      <protection locked="0"/>
    </xf>
    <xf numFmtId="181" fontId="5" fillId="0" borderId="1" xfId="0" applyNumberFormat="1" applyFont="1" applyFill="1" applyBorder="1" applyAlignment="1" applyProtection="1">
      <alignment horizontal="right" vertical="center"/>
      <protection locked="0"/>
    </xf>
    <xf numFmtId="180" fontId="5" fillId="0" borderId="1" xfId="0" applyNumberFormat="1" applyFont="1" applyFill="1" applyBorder="1" applyProtection="1">
      <alignment vertical="center"/>
      <protection locked="0"/>
    </xf>
    <xf numFmtId="181" fontId="5" fillId="0" borderId="1" xfId="1" applyNumberFormat="1" applyFont="1" applyFill="1" applyBorder="1" applyProtection="1">
      <alignment vertical="center"/>
      <protection locked="0"/>
    </xf>
    <xf numFmtId="10" fontId="5" fillId="0" borderId="1" xfId="1" applyNumberFormat="1" applyFont="1" applyFill="1" applyBorder="1" applyProtection="1">
      <alignment vertical="center"/>
      <protection locked="0"/>
    </xf>
    <xf numFmtId="181" fontId="5" fillId="0" borderId="0" xfId="0" applyNumberFormat="1" applyFont="1" applyFill="1">
      <alignment vertical="center"/>
    </xf>
    <xf numFmtId="181" fontId="8" fillId="0" borderId="1" xfId="0" applyNumberFormat="1" applyFont="1" applyBorder="1" applyProtection="1">
      <alignment vertical="center"/>
      <protection locked="0"/>
    </xf>
    <xf numFmtId="181" fontId="5" fillId="4" borderId="1" xfId="0" applyNumberFormat="1" applyFont="1" applyFill="1" applyBorder="1" applyProtection="1">
      <alignment vertical="center"/>
      <protection locked="0"/>
    </xf>
    <xf numFmtId="181" fontId="8" fillId="4" borderId="1" xfId="0" applyNumberFormat="1" applyFont="1" applyFill="1" applyBorder="1" applyProtection="1">
      <alignment vertical="center"/>
      <protection locked="0"/>
    </xf>
    <xf numFmtId="181" fontId="5" fillId="4" borderId="1" xfId="0" applyNumberFormat="1" applyFont="1" applyFill="1" applyBorder="1" applyAlignment="1" applyProtection="1">
      <alignment horizontal="right" vertical="center"/>
      <protection locked="0"/>
    </xf>
    <xf numFmtId="180" fontId="5" fillId="4" borderId="1" xfId="0" applyNumberFormat="1" applyFont="1" applyFill="1" applyBorder="1" applyProtection="1">
      <alignment vertical="center"/>
      <protection locked="0"/>
    </xf>
    <xf numFmtId="181" fontId="5" fillId="4" borderId="1" xfId="1" applyNumberFormat="1" applyFont="1" applyFill="1" applyBorder="1" applyProtection="1">
      <alignment vertical="center"/>
      <protection locked="0"/>
    </xf>
    <xf numFmtId="10" fontId="5" fillId="4" borderId="1" xfId="1" applyNumberFormat="1" applyFont="1" applyFill="1" applyBorder="1" applyProtection="1">
      <alignment vertical="center"/>
      <protection locked="0"/>
    </xf>
    <xf numFmtId="181" fontId="5" fillId="4" borderId="0" xfId="0" applyNumberFormat="1" applyFont="1" applyFill="1">
      <alignment vertical="center"/>
    </xf>
    <xf numFmtId="181" fontId="6" fillId="0" borderId="1" xfId="0" applyNumberFormat="1" applyFont="1" applyBorder="1" applyProtection="1">
      <alignment vertical="center"/>
      <protection locked="0"/>
    </xf>
    <xf numFmtId="181" fontId="7" fillId="0" borderId="1" xfId="0" applyNumberFormat="1" applyFont="1" applyBorder="1" applyProtection="1">
      <alignment vertical="center"/>
      <protection locked="0"/>
    </xf>
    <xf numFmtId="181" fontId="7" fillId="0" borderId="1" xfId="0" applyNumberFormat="1" applyFont="1" applyBorder="1" applyAlignment="1" applyProtection="1">
      <alignment horizontal="right" vertical="center"/>
      <protection locked="0"/>
    </xf>
    <xf numFmtId="180" fontId="7" fillId="0" borderId="1" xfId="0" applyNumberFormat="1" applyFont="1" applyBorder="1" applyProtection="1">
      <alignment vertical="center"/>
      <protection locked="0"/>
    </xf>
    <xf numFmtId="181" fontId="7" fillId="0" borderId="1" xfId="1" applyNumberFormat="1" applyFont="1" applyBorder="1" applyProtection="1">
      <alignment vertical="center"/>
      <protection locked="0"/>
    </xf>
    <xf numFmtId="10" fontId="6" fillId="0" borderId="1" xfId="1" applyNumberFormat="1" applyFont="1" applyBorder="1" applyProtection="1">
      <alignment vertical="center"/>
      <protection locked="0"/>
    </xf>
    <xf numFmtId="181" fontId="8" fillId="0" borderId="1" xfId="1" applyNumberFormat="1" applyFont="1" applyBorder="1" applyProtection="1">
      <alignment vertical="center"/>
      <protection locked="0"/>
    </xf>
    <xf numFmtId="10" fontId="7" fillId="0" borderId="1" xfId="1" applyNumberFormat="1" applyFont="1" applyBorder="1" applyProtection="1">
      <alignment vertical="center"/>
      <protection locked="0"/>
    </xf>
    <xf numFmtId="181" fontId="9" fillId="0" borderId="1" xfId="0" applyNumberFormat="1" applyFont="1" applyBorder="1" applyProtection="1">
      <alignment vertical="center"/>
      <protection locked="0"/>
    </xf>
    <xf numFmtId="181" fontId="8" fillId="0" borderId="1" xfId="0" applyNumberFormat="1" applyFont="1" applyBorder="1" applyAlignment="1" applyProtection="1">
      <alignment horizontal="right" vertical="center"/>
      <protection locked="0"/>
    </xf>
    <xf numFmtId="180" fontId="8" fillId="0" borderId="1" xfId="0" applyNumberFormat="1" applyFont="1" applyBorder="1" applyProtection="1">
      <alignment vertical="center"/>
      <protection locked="0"/>
    </xf>
    <xf numFmtId="10" fontId="8" fillId="0" borderId="1" xfId="1" applyNumberFormat="1" applyFont="1" applyBorder="1" applyProtection="1">
      <alignment vertical="center"/>
      <protection locked="0"/>
    </xf>
    <xf numFmtId="181" fontId="8" fillId="0" borderId="0" xfId="0" applyNumberFormat="1" applyFont="1">
      <alignment vertical="center"/>
    </xf>
    <xf numFmtId="181" fontId="8" fillId="0" borderId="1" xfId="0" applyNumberFormat="1" applyFont="1" applyFill="1" applyBorder="1" applyProtection="1">
      <alignment vertical="center"/>
      <protection locked="0"/>
    </xf>
    <xf numFmtId="181" fontId="8" fillId="0" borderId="1" xfId="0" applyNumberFormat="1" applyFont="1" applyFill="1" applyBorder="1" applyAlignment="1" applyProtection="1">
      <alignment horizontal="right" vertical="center"/>
      <protection locked="0"/>
    </xf>
    <xf numFmtId="180" fontId="8" fillId="0" borderId="1" xfId="0" applyNumberFormat="1" applyFont="1" applyFill="1" applyBorder="1" applyProtection="1">
      <alignment vertical="center"/>
      <protection locked="0"/>
    </xf>
    <xf numFmtId="181" fontId="8" fillId="0" borderId="1" xfId="1" applyNumberFormat="1" applyFont="1" applyFill="1" applyBorder="1" applyProtection="1">
      <alignment vertical="center"/>
      <protection locked="0"/>
    </xf>
    <xf numFmtId="10" fontId="8" fillId="0" borderId="1" xfId="1" applyNumberFormat="1" applyFont="1" applyFill="1" applyBorder="1" applyProtection="1">
      <alignment vertical="center"/>
      <protection locked="0"/>
    </xf>
    <xf numFmtId="181" fontId="8" fillId="0" borderId="0" xfId="0" applyNumberFormat="1" applyFont="1" applyFill="1">
      <alignment vertical="center"/>
    </xf>
    <xf numFmtId="181" fontId="9" fillId="0" borderId="1" xfId="0" applyNumberFormat="1" applyFont="1" applyFill="1" applyBorder="1" applyProtection="1">
      <alignment vertical="center"/>
      <protection locked="0"/>
    </xf>
    <xf numFmtId="180" fontId="4" fillId="3" borderId="0" xfId="0" applyNumberFormat="1" applyFont="1" applyFill="1" applyBorder="1" applyAlignment="1">
      <alignment horizontal="left" vertical="center"/>
    </xf>
    <xf numFmtId="180" fontId="5" fillId="0" borderId="1" xfId="0" applyNumberFormat="1" applyFont="1" applyBorder="1" applyAlignment="1" applyProtection="1">
      <alignment horizontal="left" vertical="center"/>
      <protection locked="0"/>
    </xf>
    <xf numFmtId="180" fontId="6" fillId="0" borderId="1" xfId="0" applyNumberFormat="1" applyFont="1" applyBorder="1" applyAlignment="1" applyProtection="1">
      <alignment horizontal="left" vertical="center"/>
      <protection locked="0"/>
    </xf>
    <xf numFmtId="180" fontId="5" fillId="0" borderId="1" xfId="0" applyNumberFormat="1" applyFont="1" applyFill="1" applyBorder="1" applyAlignment="1" applyProtection="1">
      <alignment horizontal="left" vertical="center"/>
      <protection locked="0"/>
    </xf>
    <xf numFmtId="180" fontId="5" fillId="4" borderId="1" xfId="0" applyNumberFormat="1" applyFont="1" applyFill="1" applyBorder="1" applyAlignment="1" applyProtection="1">
      <alignment horizontal="left" vertical="center"/>
      <protection locked="0"/>
    </xf>
    <xf numFmtId="180" fontId="9" fillId="0" borderId="1" xfId="0" applyNumberFormat="1" applyFont="1" applyBorder="1" applyAlignment="1" applyProtection="1">
      <alignment horizontal="left" vertical="center"/>
      <protection locked="0"/>
    </xf>
    <xf numFmtId="180" fontId="8" fillId="0" borderId="1" xfId="0" applyNumberFormat="1" applyFont="1" applyBorder="1" applyAlignment="1" applyProtection="1">
      <alignment horizontal="left" vertical="center"/>
      <protection locked="0"/>
    </xf>
    <xf numFmtId="180" fontId="8" fillId="0" borderId="1" xfId="0" applyNumberFormat="1" applyFont="1" applyFill="1" applyBorder="1" applyAlignment="1" applyProtection="1">
      <alignment horizontal="left" vertical="center"/>
      <protection locked="0"/>
    </xf>
    <xf numFmtId="180" fontId="9" fillId="0" borderId="1" xfId="0" applyNumberFormat="1" applyFont="1" applyFill="1" applyBorder="1" applyAlignment="1" applyProtection="1">
      <alignment horizontal="left" vertical="center"/>
      <protection locked="0"/>
    </xf>
    <xf numFmtId="180" fontId="5" fillId="0" borderId="0" xfId="0" applyNumberFormat="1" applyFont="1" applyAlignment="1">
      <alignment horizontal="left" vertical="center"/>
    </xf>
    <xf numFmtId="0" fontId="1" fillId="2" borderId="0" xfId="0" applyNumberFormat="1" applyFont="1" applyFill="1">
      <alignment vertical="center"/>
    </xf>
    <xf numFmtId="0" fontId="0" fillId="0" borderId="0" xfId="0" applyNumberFormat="1">
      <alignment vertical="center"/>
    </xf>
    <xf numFmtId="177" fontId="0" fillId="5" borderId="0" xfId="0" applyNumberFormat="1" applyFill="1">
      <alignment vertical="center"/>
    </xf>
    <xf numFmtId="0" fontId="0" fillId="5" borderId="0" xfId="0" applyNumberFormat="1" applyFill="1">
      <alignment vertical="center"/>
    </xf>
    <xf numFmtId="180" fontId="5" fillId="5" borderId="1" xfId="0" applyNumberFormat="1" applyFont="1" applyFill="1" applyBorder="1" applyAlignment="1" applyProtection="1">
      <alignment horizontal="left" vertical="center"/>
      <protection locked="0"/>
    </xf>
    <xf numFmtId="181" fontId="5" fillId="5" borderId="1" xfId="0" applyNumberFormat="1" applyFont="1" applyFill="1" applyBorder="1" applyProtection="1">
      <alignment vertical="center"/>
      <protection locked="0"/>
    </xf>
    <xf numFmtId="181" fontId="5" fillId="5" borderId="1" xfId="0" applyNumberFormat="1" applyFont="1" applyFill="1" applyBorder="1" applyAlignment="1" applyProtection="1">
      <alignment horizontal="right" vertical="center"/>
      <protection locked="0"/>
    </xf>
    <xf numFmtId="180" fontId="5" fillId="5" borderId="1" xfId="0" applyNumberFormat="1" applyFont="1" applyFill="1" applyBorder="1" applyProtection="1">
      <alignment vertical="center"/>
      <protection locked="0"/>
    </xf>
    <xf numFmtId="181" fontId="5" fillId="5" borderId="1" xfId="1" applyNumberFormat="1" applyFont="1" applyFill="1" applyBorder="1" applyProtection="1">
      <alignment vertical="center"/>
      <protection locked="0"/>
    </xf>
    <xf numFmtId="10" fontId="5" fillId="5" borderId="1" xfId="1" applyNumberFormat="1" applyFont="1" applyFill="1" applyBorder="1" applyProtection="1">
      <alignment vertical="center"/>
      <protection locked="0"/>
    </xf>
    <xf numFmtId="181" fontId="5" fillId="5" borderId="0" xfId="0" applyNumberFormat="1" applyFont="1" applyFill="1">
      <alignment vertical="center"/>
    </xf>
    <xf numFmtId="0" fontId="1" fillId="6" borderId="0" xfId="0" applyFont="1" applyFill="1">
      <alignment vertical="center"/>
    </xf>
    <xf numFmtId="9" fontId="0" fillId="0" borderId="0" xfId="1" applyFont="1">
      <alignment vertical="center"/>
    </xf>
    <xf numFmtId="9" fontId="1" fillId="6" borderId="0" xfId="1" applyFont="1" applyFill="1">
      <alignment vertical="center"/>
    </xf>
    <xf numFmtId="9" fontId="1" fillId="7" borderId="0" xfId="1" applyFont="1" applyFill="1">
      <alignment vertical="center"/>
    </xf>
  </cellXfs>
  <cellStyles count="2">
    <cellStyle name="百分比" xfId="1" builtinId="5"/>
    <cellStyle name="常规" xfId="0" builtinId="0"/>
  </cellStyles>
  <dxfs count="9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3D3D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17"/>
  <sheetViews>
    <sheetView tabSelected="1" topLeftCell="G1" zoomScale="85" zoomScaleNormal="85" workbookViewId="0">
      <pane xSplit="2" ySplit="3" topLeftCell="I4" activePane="bottomRight" state="frozen"/>
      <selection activeCell="G1" sqref="G1"/>
      <selection pane="topRight" activeCell="I1" sqref="I1"/>
      <selection pane="bottomLeft" activeCell="G2" sqref="G2"/>
      <selection pane="bottomRight" activeCell="I23" sqref="I23"/>
    </sheetView>
  </sheetViews>
  <sheetFormatPr defaultRowHeight="13.5" x14ac:dyDescent="0.15"/>
  <cols>
    <col min="1" max="1" width="40.5" bestFit="1" customWidth="1"/>
    <col min="2" max="2" width="10.75" bestFit="1" customWidth="1"/>
    <col min="3" max="3" width="20.5" bestFit="1" customWidth="1"/>
    <col min="4" max="4" width="14.5" bestFit="1" customWidth="1"/>
    <col min="5" max="6" width="40.5" bestFit="1" customWidth="1"/>
    <col min="7" max="7" width="15.875" bestFit="1" customWidth="1"/>
    <col min="8" max="8" width="42.5" bestFit="1" customWidth="1"/>
    <col min="9" max="9" width="18.25" bestFit="1" customWidth="1"/>
    <col min="10" max="10" width="15.75" bestFit="1" customWidth="1"/>
    <col min="11" max="11" width="22" bestFit="1" customWidth="1"/>
    <col min="12" max="12" width="20.75" bestFit="1" customWidth="1"/>
    <col min="13" max="13" width="18.25" bestFit="1" customWidth="1"/>
    <col min="14" max="15" width="25.75" bestFit="1" customWidth="1"/>
    <col min="16" max="16" width="27" bestFit="1" customWidth="1"/>
    <col min="17" max="17" width="24.5" bestFit="1" customWidth="1"/>
    <col min="18" max="18" width="23.25" bestFit="1" customWidth="1"/>
    <col min="19" max="19" width="29.5" bestFit="1" customWidth="1"/>
    <col min="20" max="20" width="22" bestFit="1" customWidth="1"/>
    <col min="21" max="21" width="28.25" bestFit="1" customWidth="1"/>
    <col min="22" max="22" width="19.5" bestFit="1" customWidth="1"/>
    <col min="23" max="23" width="27" bestFit="1" customWidth="1"/>
    <col min="24" max="24" width="33.25" bestFit="1" customWidth="1"/>
    <col min="25" max="25" width="17" bestFit="1" customWidth="1"/>
    <col min="26" max="26" width="23.25" bestFit="1" customWidth="1"/>
    <col min="27" max="27" width="9.625" bestFit="1" customWidth="1"/>
    <col min="28" max="29" width="17" bestFit="1" customWidth="1"/>
    <col min="30" max="30" width="18.25" bestFit="1" customWidth="1"/>
    <col min="31" max="31" width="15.75" bestFit="1" customWidth="1"/>
    <col min="32" max="33" width="17" bestFit="1" customWidth="1"/>
    <col min="34" max="34" width="15.75" style="64" bestFit="1" customWidth="1"/>
    <col min="35" max="35" width="9.625" bestFit="1" customWidth="1"/>
    <col min="36" max="36" width="20.5" bestFit="1" customWidth="1"/>
    <col min="37" max="37" width="63.75" bestFit="1" customWidth="1"/>
  </cols>
  <sheetData>
    <row r="1" spans="1:37" x14ac:dyDescent="0.15">
      <c r="J1" s="75"/>
    </row>
    <row r="2" spans="1:37" s="75" customFormat="1" x14ac:dyDescent="0.15">
      <c r="I2" s="76">
        <f>COUNTIF(I4:I217,TRUE)/COUNTA(I4:I217)</f>
        <v>1</v>
      </c>
      <c r="J2" s="76">
        <f t="shared" ref="J2:AH2" si="0">COUNTIF(J4:J217,TRUE)/COUNTA(J4:J217)</f>
        <v>1</v>
      </c>
      <c r="K2" s="76">
        <f t="shared" si="0"/>
        <v>1</v>
      </c>
      <c r="L2" s="76">
        <f t="shared" si="0"/>
        <v>1</v>
      </c>
      <c r="M2" s="76">
        <f t="shared" si="0"/>
        <v>1</v>
      </c>
      <c r="N2" s="75">
        <f t="shared" si="0"/>
        <v>0.96728971962616828</v>
      </c>
      <c r="O2" s="76">
        <f t="shared" si="0"/>
        <v>1</v>
      </c>
      <c r="P2" s="76">
        <f t="shared" si="0"/>
        <v>0.99532710280373837</v>
      </c>
      <c r="Q2" s="77">
        <f t="shared" si="0"/>
        <v>0.7009345794392523</v>
      </c>
      <c r="R2" s="76">
        <f t="shared" si="0"/>
        <v>1</v>
      </c>
      <c r="S2" s="76">
        <f t="shared" si="0"/>
        <v>0.99532710280373837</v>
      </c>
      <c r="T2" s="76">
        <f t="shared" si="0"/>
        <v>1</v>
      </c>
      <c r="U2" s="76">
        <f t="shared" si="0"/>
        <v>1</v>
      </c>
      <c r="V2" s="76">
        <f t="shared" si="0"/>
        <v>0.98130841121495327</v>
      </c>
      <c r="W2" s="76">
        <f t="shared" si="0"/>
        <v>1</v>
      </c>
      <c r="X2" s="76">
        <f t="shared" si="0"/>
        <v>1</v>
      </c>
      <c r="Y2" s="75">
        <f t="shared" si="0"/>
        <v>0.95327102803738317</v>
      </c>
      <c r="Z2" s="75">
        <f t="shared" si="0"/>
        <v>0.97663551401869164</v>
      </c>
      <c r="AA2" s="75">
        <f t="shared" si="0"/>
        <v>1</v>
      </c>
      <c r="AB2" s="75">
        <f t="shared" si="0"/>
        <v>1</v>
      </c>
      <c r="AC2" s="75">
        <f t="shared" si="0"/>
        <v>1</v>
      </c>
      <c r="AD2" s="75">
        <f t="shared" si="0"/>
        <v>1</v>
      </c>
      <c r="AE2" s="75">
        <f t="shared" si="0"/>
        <v>0.95327102803738317</v>
      </c>
      <c r="AF2" s="75">
        <f t="shared" si="0"/>
        <v>1</v>
      </c>
      <c r="AG2" s="75">
        <f t="shared" si="0"/>
        <v>1</v>
      </c>
      <c r="AH2" s="75">
        <f t="shared" si="0"/>
        <v>0.99532710280373837</v>
      </c>
    </row>
    <row r="3" spans="1:37" x14ac:dyDescent="0.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74" t="s">
        <v>6</v>
      </c>
      <c r="H3" s="74" t="s">
        <v>7</v>
      </c>
      <c r="I3" s="74" t="s">
        <v>8</v>
      </c>
      <c r="J3" s="74" t="s">
        <v>9</v>
      </c>
      <c r="K3" s="74" t="s">
        <v>10</v>
      </c>
      <c r="L3" s="74" t="s">
        <v>11</v>
      </c>
      <c r="M3" s="74" t="s">
        <v>12</v>
      </c>
      <c r="N3" s="74" t="s">
        <v>13</v>
      </c>
      <c r="O3" s="74" t="s">
        <v>14</v>
      </c>
      <c r="P3" s="74" t="s">
        <v>15</v>
      </c>
      <c r="Q3" s="74" t="s">
        <v>16</v>
      </c>
      <c r="R3" s="74" t="s">
        <v>17</v>
      </c>
      <c r="S3" s="74" t="s">
        <v>18</v>
      </c>
      <c r="T3" s="74" t="s">
        <v>19</v>
      </c>
      <c r="U3" s="74" t="s">
        <v>20</v>
      </c>
      <c r="V3" s="74" t="s">
        <v>21</v>
      </c>
      <c r="W3" s="74" t="s">
        <v>22</v>
      </c>
      <c r="X3" s="74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74" t="s">
        <v>28</v>
      </c>
      <c r="AD3" s="74" t="s">
        <v>29</v>
      </c>
      <c r="AE3" s="1" t="s">
        <v>30</v>
      </c>
      <c r="AF3" s="74" t="s">
        <v>31</v>
      </c>
      <c r="AG3" s="74" t="s">
        <v>32</v>
      </c>
      <c r="AH3" s="74" t="s">
        <v>33</v>
      </c>
      <c r="AI3" s="1" t="s">
        <v>34</v>
      </c>
      <c r="AJ3" s="1" t="s">
        <v>35</v>
      </c>
      <c r="AK3" s="1" t="s">
        <v>36</v>
      </c>
    </row>
    <row r="4" spans="1:37" x14ac:dyDescent="0.15">
      <c r="A4" s="2" t="s">
        <v>2325</v>
      </c>
      <c r="B4">
        <v>317</v>
      </c>
      <c r="C4" s="3">
        <v>39508</v>
      </c>
      <c r="D4" s="2" t="s">
        <v>37</v>
      </c>
      <c r="E4" s="2" t="s">
        <v>2324</v>
      </c>
      <c r="F4" s="2" t="s">
        <v>38</v>
      </c>
      <c r="G4" s="2" t="s">
        <v>39</v>
      </c>
      <c r="H4" s="2" t="s">
        <v>40</v>
      </c>
      <c r="I4" s="65" t="b">
        <f>导出!I2=计算!I2</f>
        <v>1</v>
      </c>
      <c r="J4" s="65" t="b">
        <f>导出!J2=计算!J2</f>
        <v>1</v>
      </c>
      <c r="K4" s="65" t="b">
        <f>导出!K2=计算!K2</f>
        <v>1</v>
      </c>
      <c r="L4" s="65" t="b">
        <f>导出!L2=计算!L2</f>
        <v>1</v>
      </c>
      <c r="M4" s="65" t="b">
        <f>导出!M2=计算!M2</f>
        <v>1</v>
      </c>
      <c r="N4" s="65" t="b">
        <f>TEXT(导出!N2,"#.00")=TEXT(计算!N2, "#.00")</f>
        <v>0</v>
      </c>
      <c r="O4" s="65" t="b">
        <f>TEXT(导出!O2,"#.00")=TEXT(计算!O2, "#.00")</f>
        <v>1</v>
      </c>
      <c r="P4" s="65" t="b">
        <f>TEXT(导出!P2,"#.00")=TEXT(计算!P2, "#.00")</f>
        <v>1</v>
      </c>
      <c r="Q4" s="65" t="b">
        <f>TEXT(导出!Q2,"#.00")=TEXT(计算!Q2, "#.00")</f>
        <v>0</v>
      </c>
      <c r="R4" s="65" t="b">
        <f>TEXT(导出!R2,"#.00")=TEXT(计算!R2, "#.00")</f>
        <v>1</v>
      </c>
      <c r="S4" s="65" t="b">
        <f>TEXT(导出!S2,"#.00")=TEXT(计算!S2, "#.00")</f>
        <v>1</v>
      </c>
      <c r="T4" s="65" t="b">
        <f>TEXT(导出!T2,"#.00")=TEXT(计算!T2, "#.00")</f>
        <v>1</v>
      </c>
      <c r="U4" s="65" t="b">
        <f>TEXT(导出!U2,"#.00")=TEXT(计算!U2, "#.00")</f>
        <v>1</v>
      </c>
      <c r="V4" s="65" t="b">
        <f>TEXT(导出!V2,"#.00")=TEXT(计算!V2*100, "#.00")</f>
        <v>0</v>
      </c>
      <c r="W4" s="65" t="b">
        <f>TEXT(导出!W2,"#.00")=TEXT(计算!W2, "#.00")</f>
        <v>1</v>
      </c>
      <c r="X4" s="65" t="b">
        <f>TEXT(导出!X2,"#.00")=TEXT(计算!X2, "#.00")</f>
        <v>1</v>
      </c>
      <c r="Y4" s="65" t="b">
        <f>TEXT(导出!Y2,"#.00")=TEXT(计算!Y2, "#.00")</f>
        <v>1</v>
      </c>
      <c r="Z4" s="65" t="b">
        <f>TEXT(导出!Z2,"#.00")=TEXT(计算!Z2, "#.00")</f>
        <v>1</v>
      </c>
      <c r="AA4" s="65" t="b">
        <f>TEXT(导出!AA2,"#.00")=TEXT(计算!AA2*100, "#.00")</f>
        <v>1</v>
      </c>
      <c r="AB4" s="65" t="b">
        <f>TEXT(导出!AB2,"#.00")=TEXT(计算!AB2, "#.00")</f>
        <v>1</v>
      </c>
      <c r="AC4" s="65" t="b">
        <f>TEXT(导出!AC2,"#.00")=TEXT(计算!AC2, "#.00")</f>
        <v>1</v>
      </c>
      <c r="AD4" s="65" t="b">
        <f>TEXT(导出!AD2,"#.00")=TEXT(计算!AD2, "#.00")</f>
        <v>1</v>
      </c>
      <c r="AE4" s="65" t="b">
        <f>ABS(导出!AE2-计算!AE2)&lt;10</f>
        <v>1</v>
      </c>
      <c r="AF4" s="65" t="b">
        <f>TEXT(ABS(导出!AF2),"#.00")=TEXT(ABS(计算!AF2), "#.00")</f>
        <v>1</v>
      </c>
      <c r="AG4" s="65" t="b">
        <f>TEXT(导出!AG2,"#.00")=TEXT(计算!AG2, "#.00")</f>
        <v>1</v>
      </c>
      <c r="AH4" s="65" t="b">
        <f>TEXT(导出!AH2,"#.00")=TEXT(计算!AH2, "#.00")</f>
        <v>1</v>
      </c>
      <c r="AI4">
        <v>0</v>
      </c>
      <c r="AJ4" s="3">
        <v>41912.686249999999</v>
      </c>
      <c r="AK4" s="2" t="s">
        <v>2323</v>
      </c>
    </row>
    <row r="5" spans="1:37" x14ac:dyDescent="0.15">
      <c r="A5" s="2" t="s">
        <v>2322</v>
      </c>
      <c r="B5">
        <v>4</v>
      </c>
      <c r="C5" s="3">
        <v>39873</v>
      </c>
      <c r="D5" s="2" t="s">
        <v>37</v>
      </c>
      <c r="E5" s="2" t="s">
        <v>2321</v>
      </c>
      <c r="F5" s="2" t="s">
        <v>41</v>
      </c>
      <c r="G5" s="2" t="s">
        <v>42</v>
      </c>
      <c r="H5" s="2" t="s">
        <v>43</v>
      </c>
      <c r="I5" s="65" t="b">
        <f>导出!I3=计算!I3</f>
        <v>1</v>
      </c>
      <c r="J5" s="65" t="b">
        <f>导出!J3=计算!J3</f>
        <v>1</v>
      </c>
      <c r="K5" s="65" t="b">
        <f>导出!K3=计算!K3</f>
        <v>1</v>
      </c>
      <c r="L5" s="65" t="b">
        <f>导出!L3=计算!L3</f>
        <v>1</v>
      </c>
      <c r="M5" s="65" t="b">
        <f>导出!M3=计算!M3</f>
        <v>1</v>
      </c>
      <c r="N5" s="65" t="b">
        <f>TEXT(导出!N3,"#.00")=TEXT(计算!N3, "#.00")</f>
        <v>1</v>
      </c>
      <c r="O5" s="65" t="b">
        <f>TEXT(导出!O3,"#.00")=TEXT(计算!O3, "#.00")</f>
        <v>1</v>
      </c>
      <c r="P5" s="65" t="b">
        <f>TEXT(导出!P3,"#.00")=TEXT(计算!P3, "#.00")</f>
        <v>1</v>
      </c>
      <c r="Q5" s="65" t="b">
        <f>TEXT(导出!Q3,"#.00")=TEXT(计算!Q3, "#.00")</f>
        <v>1</v>
      </c>
      <c r="R5" s="65" t="b">
        <f>TEXT(导出!R3,"#.00")=TEXT(计算!R3, "#.00")</f>
        <v>1</v>
      </c>
      <c r="S5" s="65" t="b">
        <f>TEXT(导出!S3,"#.00")=TEXT(计算!S3, "#.00")</f>
        <v>1</v>
      </c>
      <c r="T5" s="65" t="b">
        <f>TEXT(导出!T3,"#.00")=TEXT(计算!T3, "#.00")</f>
        <v>1</v>
      </c>
      <c r="U5" s="65" t="b">
        <f>TEXT(导出!U3,"#.00")=TEXT(计算!U3, "#.00")</f>
        <v>1</v>
      </c>
      <c r="V5" s="65" t="b">
        <f>TEXT(导出!V3,"#.00")=TEXT(计算!V3*100, "#.00")</f>
        <v>1</v>
      </c>
      <c r="W5" s="65" t="b">
        <f>TEXT(导出!W3,"#.00")=TEXT(计算!W3, "#.00")</f>
        <v>1</v>
      </c>
      <c r="X5" s="65" t="b">
        <f>TEXT(导出!X3,"#.00")=TEXT(计算!X3, "#.00")</f>
        <v>1</v>
      </c>
      <c r="Y5" s="65" t="b">
        <f>TEXT(导出!Y3,"#.00")=TEXT(计算!Y3, "#.00")</f>
        <v>1</v>
      </c>
      <c r="Z5" s="65" t="b">
        <f>TEXT(导出!Z3,"#.00")=TEXT(计算!Z3, "#.00")</f>
        <v>1</v>
      </c>
      <c r="AA5" s="65" t="b">
        <f>TEXT(导出!AA3,"#.00")=TEXT(计算!AA3*100, "#.00")</f>
        <v>1</v>
      </c>
      <c r="AB5" s="65" t="b">
        <f>TEXT(导出!AB3,"#.00")=TEXT(计算!AB3, "#.00")</f>
        <v>1</v>
      </c>
      <c r="AC5" s="65" t="b">
        <f>TEXT(导出!AC3,"#.00")=TEXT(计算!AC3, "#.00")</f>
        <v>1</v>
      </c>
      <c r="AD5" s="65" t="b">
        <f>TEXT(导出!AD3,"#.00")=TEXT(计算!AD3, "#.00")</f>
        <v>1</v>
      </c>
      <c r="AE5" s="65" t="b">
        <f>ABS(导出!AE3-计算!AE3)&lt;10</f>
        <v>1</v>
      </c>
      <c r="AF5" s="65" t="b">
        <f>TEXT(ABS(导出!AF3),"#.00")=TEXT(ABS(计算!AF3), "#.00")</f>
        <v>1</v>
      </c>
      <c r="AG5" s="65" t="b">
        <f>TEXT(导出!AG3,"#.00")=TEXT(计算!AG3, "#.00")</f>
        <v>1</v>
      </c>
      <c r="AH5" s="65" t="b">
        <f>TEXT(导出!AH3,"#.00")=TEXT(计算!AH3, "#.00")</f>
        <v>1</v>
      </c>
      <c r="AI5">
        <v>0</v>
      </c>
      <c r="AJ5" s="3">
        <v>41912.6862384259</v>
      </c>
      <c r="AK5" s="2" t="s">
        <v>2320</v>
      </c>
    </row>
    <row r="6" spans="1:37" x14ac:dyDescent="0.15">
      <c r="A6" s="2" t="s">
        <v>2319</v>
      </c>
      <c r="B6">
        <v>9</v>
      </c>
      <c r="C6" s="3">
        <v>40179</v>
      </c>
      <c r="D6" s="2" t="s">
        <v>37</v>
      </c>
      <c r="E6" s="2" t="s">
        <v>2318</v>
      </c>
      <c r="F6" s="2" t="s">
        <v>41</v>
      </c>
      <c r="G6" s="2" t="s">
        <v>44</v>
      </c>
      <c r="H6" s="2" t="s">
        <v>45</v>
      </c>
      <c r="I6" s="65" t="b">
        <f>导出!I4=计算!I4</f>
        <v>1</v>
      </c>
      <c r="J6" s="65" t="b">
        <f>导出!J4=计算!J4</f>
        <v>1</v>
      </c>
      <c r="K6" s="65" t="b">
        <f>导出!K4=计算!K4</f>
        <v>1</v>
      </c>
      <c r="L6" s="65" t="b">
        <f>导出!L4=计算!L4</f>
        <v>1</v>
      </c>
      <c r="M6" s="65" t="b">
        <f>导出!M4=计算!M4</f>
        <v>1</v>
      </c>
      <c r="N6" s="65" t="b">
        <f>TEXT(导出!N4,"#.00")=TEXT(计算!N4, "#.00")</f>
        <v>1</v>
      </c>
      <c r="O6" s="65" t="b">
        <f>TEXT(导出!O4,"#.00")=TEXT(计算!O4, "#.00")</f>
        <v>1</v>
      </c>
      <c r="P6" s="65" t="b">
        <f>TEXT(导出!P4,"#.00")=TEXT(计算!P4, "#.00")</f>
        <v>1</v>
      </c>
      <c r="Q6" s="65" t="b">
        <f>TEXT(导出!Q4,"#.00")=TEXT(计算!Q4, "#.00")</f>
        <v>1</v>
      </c>
      <c r="R6" s="65" t="b">
        <f>TEXT(导出!R4,"#.00")=TEXT(计算!R4, "#.00")</f>
        <v>1</v>
      </c>
      <c r="S6" s="65" t="b">
        <f>TEXT(导出!S4,"#.00")=TEXT(计算!S4, "#.00")</f>
        <v>1</v>
      </c>
      <c r="T6" s="65" t="b">
        <f>TEXT(导出!T4,"#.00")=TEXT(计算!T4, "#.00")</f>
        <v>1</v>
      </c>
      <c r="U6" s="65" t="b">
        <f>TEXT(导出!U4,"#.00")=TEXT(计算!U4, "#.00")</f>
        <v>1</v>
      </c>
      <c r="V6" s="65" t="b">
        <f>TEXT(导出!V4,"#.00")=TEXT(计算!V4*100, "#.00")</f>
        <v>1</v>
      </c>
      <c r="W6" s="65" t="b">
        <f>TEXT(导出!W4,"#.00")=TEXT(计算!W4, "#.00")</f>
        <v>1</v>
      </c>
      <c r="X6" s="65" t="b">
        <f>TEXT(导出!X4,"#.00")=TEXT(计算!X4, "#.00")</f>
        <v>1</v>
      </c>
      <c r="Y6" s="65" t="b">
        <f>TEXT(导出!Y4,"#.00")=TEXT(计算!Y4, "#.00")</f>
        <v>1</v>
      </c>
      <c r="Z6" s="65" t="b">
        <f>TEXT(导出!Z4,"#.00")=TEXT(计算!Z4, "#.00")</f>
        <v>1</v>
      </c>
      <c r="AA6" s="65" t="b">
        <f>TEXT(导出!AA4,"#.00")=TEXT(计算!AA4*100, "#.00")</f>
        <v>1</v>
      </c>
      <c r="AB6" s="65" t="b">
        <f>TEXT(导出!AB4,"#.00")=TEXT(计算!AB4, "#.00")</f>
        <v>1</v>
      </c>
      <c r="AC6" s="65" t="b">
        <f>TEXT(导出!AC4,"#.00")=TEXT(计算!AC4, "#.00")</f>
        <v>1</v>
      </c>
      <c r="AD6" s="65" t="b">
        <f>TEXT(导出!AD4,"#.00")=TEXT(计算!AD4, "#.00")</f>
        <v>1</v>
      </c>
      <c r="AE6" s="65" t="b">
        <f>ABS(导出!AE4-计算!AE4)&lt;10</f>
        <v>1</v>
      </c>
      <c r="AF6" s="65" t="b">
        <f>TEXT(ABS(导出!AF4),"#.00")=TEXT(ABS(计算!AF4), "#.00")</f>
        <v>1</v>
      </c>
      <c r="AG6" s="65" t="b">
        <f>TEXT(导出!AG4,"#.00")=TEXT(计算!AG4, "#.00")</f>
        <v>1</v>
      </c>
      <c r="AH6" s="65" t="b">
        <f>TEXT(导出!AH4,"#.00")=TEXT(计算!AH4, "#.00")</f>
        <v>1</v>
      </c>
      <c r="AI6">
        <v>0</v>
      </c>
      <c r="AJ6" s="3">
        <v>41912.6862384259</v>
      </c>
      <c r="AK6" s="2" t="s">
        <v>2317</v>
      </c>
    </row>
    <row r="7" spans="1:37" x14ac:dyDescent="0.15">
      <c r="A7" s="2" t="s">
        <v>2316</v>
      </c>
      <c r="B7">
        <v>14</v>
      </c>
      <c r="C7" s="3">
        <v>40210</v>
      </c>
      <c r="D7" s="2" t="s">
        <v>37</v>
      </c>
      <c r="E7" s="2" t="s">
        <v>2315</v>
      </c>
      <c r="F7" s="2" t="s">
        <v>41</v>
      </c>
      <c r="G7" s="2" t="s">
        <v>46</v>
      </c>
      <c r="H7" s="2" t="s">
        <v>47</v>
      </c>
      <c r="I7" s="65" t="b">
        <f>导出!I5=计算!I5</f>
        <v>1</v>
      </c>
      <c r="J7" s="65" t="b">
        <f>导出!J5=计算!J5</f>
        <v>1</v>
      </c>
      <c r="K7" s="65" t="b">
        <f>导出!K5=计算!K5</f>
        <v>1</v>
      </c>
      <c r="L7" s="65" t="b">
        <f>导出!L5=计算!L5</f>
        <v>1</v>
      </c>
      <c r="M7" s="65" t="b">
        <f>导出!M5=计算!M5</f>
        <v>1</v>
      </c>
      <c r="N7" s="65" t="b">
        <f>TEXT(导出!N5,"#.00")=TEXT(计算!N5, "#.00")</f>
        <v>1</v>
      </c>
      <c r="O7" s="65" t="b">
        <f>TEXT(导出!O5,"#.00")=TEXT(计算!O5, "#.00")</f>
        <v>1</v>
      </c>
      <c r="P7" s="65" t="b">
        <f>TEXT(导出!P5,"#.00")=TEXT(计算!P5, "#.00")</f>
        <v>1</v>
      </c>
      <c r="Q7" s="65" t="b">
        <f>TEXT(导出!Q5,"#.00")=TEXT(计算!Q5, "#.00")</f>
        <v>1</v>
      </c>
      <c r="R7" s="65" t="b">
        <f>TEXT(导出!R5,"#.00")=TEXT(计算!R5, "#.00")</f>
        <v>1</v>
      </c>
      <c r="S7" s="65" t="b">
        <f>TEXT(导出!S5,"#.00")=TEXT(计算!S5, "#.00")</f>
        <v>1</v>
      </c>
      <c r="T7" s="65" t="b">
        <f>TEXT(导出!T5,"#.00")=TEXT(计算!T5, "#.00")</f>
        <v>1</v>
      </c>
      <c r="U7" s="65" t="b">
        <f>TEXT(导出!U5,"#.00")=TEXT(计算!U5, "#.00")</f>
        <v>1</v>
      </c>
      <c r="V7" s="65" t="b">
        <f>TEXT(导出!V5,"#.00")=TEXT(计算!V5*100, "#.00")</f>
        <v>1</v>
      </c>
      <c r="W7" s="65" t="b">
        <f>TEXT(导出!W5,"#.00")=TEXT(计算!W5, "#.00")</f>
        <v>1</v>
      </c>
      <c r="X7" s="65" t="b">
        <f>TEXT(导出!X5,"#.00")=TEXT(计算!X5, "#.00")</f>
        <v>1</v>
      </c>
      <c r="Y7" s="65" t="b">
        <f>TEXT(导出!Y5,"#.00")=TEXT(计算!Y5, "#.00")</f>
        <v>1</v>
      </c>
      <c r="Z7" s="65" t="b">
        <f>TEXT(导出!Z5,"#.00")=TEXT(计算!Z5, "#.00")</f>
        <v>0</v>
      </c>
      <c r="AA7" s="65" t="b">
        <f>TEXT(导出!AA5,"#.00")=TEXT(计算!AA5*100, "#.00")</f>
        <v>1</v>
      </c>
      <c r="AB7" s="65" t="b">
        <f>TEXT(导出!AB5,"#.00")=TEXT(计算!AB5, "#.00")</f>
        <v>1</v>
      </c>
      <c r="AC7" s="65" t="b">
        <f>TEXT(导出!AC5,"#.00")=TEXT(计算!AC5, "#.00")</f>
        <v>1</v>
      </c>
      <c r="AD7" s="65" t="b">
        <f>TEXT(导出!AD5,"#.00")=TEXT(计算!AD5, "#.00")</f>
        <v>1</v>
      </c>
      <c r="AE7" s="65" t="b">
        <f>ABS(导出!AE5-计算!AE5)&lt;10</f>
        <v>1</v>
      </c>
      <c r="AF7" s="65" t="b">
        <f>TEXT(ABS(导出!AF5),"#.00")=TEXT(ABS(计算!AF5), "#.00")</f>
        <v>1</v>
      </c>
      <c r="AG7" s="65" t="b">
        <f>TEXT(导出!AG5,"#.00")=TEXT(计算!AG5, "#.00")</f>
        <v>1</v>
      </c>
      <c r="AH7" s="65" t="b">
        <f>TEXT(导出!AH5,"#.00")=TEXT(计算!AH5, "#.00")</f>
        <v>1</v>
      </c>
      <c r="AI7">
        <v>0</v>
      </c>
      <c r="AJ7" s="3">
        <v>41912.6862384259</v>
      </c>
      <c r="AK7" s="2" t="s">
        <v>2314</v>
      </c>
    </row>
    <row r="8" spans="1:37" x14ac:dyDescent="0.15">
      <c r="A8" s="2" t="s">
        <v>2313</v>
      </c>
      <c r="B8">
        <v>18</v>
      </c>
      <c r="C8" s="3">
        <v>40238</v>
      </c>
      <c r="D8" s="2" t="s">
        <v>37</v>
      </c>
      <c r="E8" s="2" t="s">
        <v>2312</v>
      </c>
      <c r="F8" s="2" t="s">
        <v>41</v>
      </c>
      <c r="G8" s="2" t="s">
        <v>2326</v>
      </c>
      <c r="H8" s="2" t="s">
        <v>49</v>
      </c>
      <c r="I8" s="65" t="b">
        <f>导出!I6=计算!I6</f>
        <v>1</v>
      </c>
      <c r="J8" s="65" t="b">
        <f>导出!J6=计算!J6</f>
        <v>1</v>
      </c>
      <c r="K8" s="65" t="b">
        <f>导出!K6=计算!K6</f>
        <v>1</v>
      </c>
      <c r="L8" s="65" t="b">
        <f>导出!L6=计算!L6</f>
        <v>1</v>
      </c>
      <c r="M8" s="65" t="b">
        <f>导出!M6=计算!M6</f>
        <v>1</v>
      </c>
      <c r="N8" s="65" t="b">
        <f>TEXT(导出!N6,"#.00")=TEXT(计算!N6, "#.00")</f>
        <v>1</v>
      </c>
      <c r="O8" s="65" t="b">
        <f>TEXT(导出!O6,"#.00")=TEXT(计算!O6, "#.00")</f>
        <v>1</v>
      </c>
      <c r="P8" s="65" t="b">
        <f>TEXT(导出!P6,"#.00")=TEXT(计算!P6, "#.00")</f>
        <v>1</v>
      </c>
      <c r="Q8" s="65" t="b">
        <f>TEXT(导出!Q6,"#.00")=TEXT(计算!Q6, "#.00")</f>
        <v>1</v>
      </c>
      <c r="R8" s="65" t="b">
        <f>TEXT(导出!R6,"#.00")=TEXT(计算!R6, "#.00")</f>
        <v>1</v>
      </c>
      <c r="S8" s="65" t="b">
        <f>TEXT(导出!S6,"#.00")=TEXT(计算!S6, "#.00")</f>
        <v>1</v>
      </c>
      <c r="T8" s="65" t="b">
        <f>TEXT(导出!T6,"#.00")=TEXT(计算!T6, "#.00")</f>
        <v>1</v>
      </c>
      <c r="U8" s="65" t="b">
        <f>TEXT(导出!U6,"#.00")=TEXT(计算!U6, "#.00")</f>
        <v>1</v>
      </c>
      <c r="V8" s="65" t="b">
        <f>TEXT(导出!V6,"#.00")=TEXT(计算!V6*100, "#.00")</f>
        <v>1</v>
      </c>
      <c r="W8" s="65" t="b">
        <f>TEXT(导出!W6,"#.00")=TEXT(计算!W6, "#.00")</f>
        <v>1</v>
      </c>
      <c r="X8" s="65" t="b">
        <f>TEXT(导出!X6,"#.00")=TEXT(计算!X6, "#.00")</f>
        <v>1</v>
      </c>
      <c r="Y8" s="65" t="b">
        <f>TEXT(导出!Y6,"#.00")=TEXT(计算!Y6, "#.00")</f>
        <v>1</v>
      </c>
      <c r="Z8" s="65" t="b">
        <f>TEXT(导出!Z6,"#.00")=TEXT(计算!Z6, "#.00")</f>
        <v>0</v>
      </c>
      <c r="AA8" s="65" t="b">
        <f>TEXT(导出!AA6,"#.00")=TEXT(计算!AA6*100, "#.00")</f>
        <v>1</v>
      </c>
      <c r="AB8" s="65" t="b">
        <f>TEXT(导出!AB6,"#.00")=TEXT(计算!AB6, "#.00")</f>
        <v>1</v>
      </c>
      <c r="AC8" s="65" t="b">
        <f>TEXT(导出!AC6,"#.00")=TEXT(计算!AC6, "#.00")</f>
        <v>1</v>
      </c>
      <c r="AD8" s="65" t="b">
        <f>TEXT(导出!AD6,"#.00")=TEXT(计算!AD6, "#.00")</f>
        <v>1</v>
      </c>
      <c r="AE8" s="65" t="b">
        <f>ABS(导出!AE6-计算!AE6)&lt;10</f>
        <v>1</v>
      </c>
      <c r="AF8" s="65" t="b">
        <f>TEXT(ABS(导出!AF6),"#.00")=TEXT(ABS(计算!AF6), "#.00")</f>
        <v>1</v>
      </c>
      <c r="AG8" s="65" t="b">
        <f>TEXT(导出!AG6,"#.00")=TEXT(计算!AG6, "#.00")</f>
        <v>1</v>
      </c>
      <c r="AH8" s="65" t="b">
        <f>TEXT(导出!AH6,"#.00")=TEXT(计算!AH6, "#.00")</f>
        <v>1</v>
      </c>
      <c r="AI8">
        <v>0</v>
      </c>
      <c r="AJ8" s="3">
        <v>41912.6862384259</v>
      </c>
      <c r="AK8" s="2" t="s">
        <v>2311</v>
      </c>
    </row>
    <row r="9" spans="1:37" x14ac:dyDescent="0.15">
      <c r="A9" s="2" t="s">
        <v>2310</v>
      </c>
      <c r="B9">
        <v>325</v>
      </c>
      <c r="C9" s="3">
        <v>40283</v>
      </c>
      <c r="D9" s="2" t="s">
        <v>37</v>
      </c>
      <c r="E9" s="2" t="s">
        <v>2309</v>
      </c>
      <c r="F9" s="2" t="s">
        <v>38</v>
      </c>
      <c r="G9" s="2" t="s">
        <v>50</v>
      </c>
      <c r="H9" s="2" t="s">
        <v>51</v>
      </c>
      <c r="I9" s="65" t="b">
        <f>导出!I7=计算!I7</f>
        <v>1</v>
      </c>
      <c r="J9" s="65" t="b">
        <f>导出!J7=计算!J7</f>
        <v>1</v>
      </c>
      <c r="K9" s="65" t="b">
        <f>导出!K7=计算!K7</f>
        <v>1</v>
      </c>
      <c r="L9" s="65" t="b">
        <f>导出!L7=计算!L7</f>
        <v>1</v>
      </c>
      <c r="M9" s="65" t="b">
        <f>导出!M7=计算!M7</f>
        <v>1</v>
      </c>
      <c r="N9" s="65" t="b">
        <f>TEXT(导出!N7,"#.00")=TEXT(计算!N7, "#.00")</f>
        <v>1</v>
      </c>
      <c r="O9" s="65" t="b">
        <f>TEXT(导出!O7,"#.00")=TEXT(计算!O7, "#.00")</f>
        <v>1</v>
      </c>
      <c r="P9" s="65" t="b">
        <f>TEXT(导出!P7,"#.00")=TEXT(计算!P7, "#.00")</f>
        <v>1</v>
      </c>
      <c r="Q9" s="65" t="b">
        <f>TEXT(导出!Q7,"#.00")=TEXT(计算!Q7, "#.00")</f>
        <v>1</v>
      </c>
      <c r="R9" s="65" t="b">
        <f>TEXT(导出!R7,"#.00")=TEXT(计算!R7, "#.00")</f>
        <v>1</v>
      </c>
      <c r="S9" s="65" t="b">
        <f>TEXT(导出!S7,"#.00")=TEXT(计算!S7, "#.00")</f>
        <v>1</v>
      </c>
      <c r="T9" s="65" t="b">
        <f>TEXT(导出!T7,"#.00")=TEXT(计算!T7, "#.00")</f>
        <v>1</v>
      </c>
      <c r="U9" s="65" t="b">
        <f>TEXT(导出!U7,"#.00")=TEXT(计算!U7, "#.00")</f>
        <v>1</v>
      </c>
      <c r="V9" s="65" t="b">
        <f>TEXT(导出!V7,"#.00")=TEXT(计算!V7*100, "#.00")</f>
        <v>1</v>
      </c>
      <c r="W9" s="65" t="b">
        <f>TEXT(导出!W7,"#.00")=TEXT(计算!W7, "#.00")</f>
        <v>1</v>
      </c>
      <c r="X9" s="65" t="b">
        <f>TEXT(导出!X7,"#.00")=TEXT(计算!X7, "#.00")</f>
        <v>1</v>
      </c>
      <c r="Y9" s="65" t="b">
        <f>TEXT(导出!Y7,"#.00")=TEXT(计算!Y7, "#.00")</f>
        <v>1</v>
      </c>
      <c r="Z9" s="65" t="b">
        <f>TEXT(导出!Z7,"#.00")=TEXT(计算!Z7, "#.00")</f>
        <v>1</v>
      </c>
      <c r="AA9" s="65" t="b">
        <f>TEXT(导出!AA7,"#.00")=TEXT(计算!AA7*100, "#.00")</f>
        <v>1</v>
      </c>
      <c r="AB9" s="65" t="b">
        <f>TEXT(导出!AB7,"#.00")=TEXT(计算!AB7, "#.00")</f>
        <v>1</v>
      </c>
      <c r="AC9" s="65" t="b">
        <f>TEXT(导出!AC7,"#.00")=TEXT(计算!AC7, "#.00")</f>
        <v>1</v>
      </c>
      <c r="AD9" s="65" t="b">
        <f>TEXT(导出!AD7,"#.00")=TEXT(计算!AD7, "#.00")</f>
        <v>1</v>
      </c>
      <c r="AE9" s="65" t="b">
        <f>ABS(导出!AE7-计算!AE7)&lt;10</f>
        <v>1</v>
      </c>
      <c r="AF9" s="65" t="b">
        <f>TEXT(ABS(导出!AF7),"#.00")=TEXT(ABS(计算!AF7), "#.00")</f>
        <v>1</v>
      </c>
      <c r="AG9" s="65" t="b">
        <f>TEXT(导出!AG7,"#.00")=TEXT(计算!AG7, "#.00")</f>
        <v>1</v>
      </c>
      <c r="AH9" s="65" t="b">
        <f>TEXT(导出!AH7,"#.00")=TEXT(计算!AH7, "#.00")</f>
        <v>1</v>
      </c>
      <c r="AI9">
        <v>0</v>
      </c>
      <c r="AJ9" s="3">
        <v>41912.686249999999</v>
      </c>
      <c r="AK9" s="2" t="s">
        <v>2308</v>
      </c>
    </row>
    <row r="10" spans="1:37" x14ac:dyDescent="0.15">
      <c r="A10" s="2" t="s">
        <v>2307</v>
      </c>
      <c r="B10">
        <v>340</v>
      </c>
      <c r="C10" s="3">
        <v>40467</v>
      </c>
      <c r="D10" s="2" t="s">
        <v>37</v>
      </c>
      <c r="E10" s="2" t="s">
        <v>2306</v>
      </c>
      <c r="F10" s="2" t="s">
        <v>38</v>
      </c>
      <c r="G10" s="2" t="s">
        <v>53</v>
      </c>
      <c r="H10" s="2" t="s">
        <v>54</v>
      </c>
      <c r="I10" s="65" t="b">
        <f>导出!I8=计算!I8</f>
        <v>1</v>
      </c>
      <c r="J10" s="65" t="b">
        <f>导出!J8=计算!J8</f>
        <v>1</v>
      </c>
      <c r="K10" s="65" t="b">
        <f>导出!K8=计算!K8</f>
        <v>1</v>
      </c>
      <c r="L10" s="65" t="b">
        <f>导出!L8=计算!L8</f>
        <v>1</v>
      </c>
      <c r="M10" s="65" t="b">
        <f>导出!M8=计算!M8</f>
        <v>1</v>
      </c>
      <c r="N10" s="65" t="b">
        <f>TEXT(导出!N8,"#.00")=TEXT(计算!N8, "#.00")</f>
        <v>1</v>
      </c>
      <c r="O10" s="65" t="b">
        <f>TEXT(导出!O8,"#.00")=TEXT(计算!O8, "#.00")</f>
        <v>1</v>
      </c>
      <c r="P10" s="65" t="b">
        <f>TEXT(导出!P8,"#.00")=TEXT(计算!P8, "#.00")</f>
        <v>1</v>
      </c>
      <c r="Q10" s="65" t="b">
        <f>TEXT(导出!Q8,"#.00")=TEXT(计算!Q8, "#.00")</f>
        <v>0</v>
      </c>
      <c r="R10" s="65" t="b">
        <f>TEXT(导出!R8,"#.00")=TEXT(计算!R8, "#.00")</f>
        <v>1</v>
      </c>
      <c r="S10" s="65" t="b">
        <f>TEXT(导出!S8,"#.00")=TEXT(计算!S8, "#.00")</f>
        <v>1</v>
      </c>
      <c r="T10" s="65" t="b">
        <f>TEXT(导出!T8,"#.00")=TEXT(计算!T8, "#.00")</f>
        <v>1</v>
      </c>
      <c r="U10" s="65" t="b">
        <f>TEXT(导出!U8,"#.00")=TEXT(计算!U8, "#.00")</f>
        <v>1</v>
      </c>
      <c r="V10" s="65" t="b">
        <f>TEXT(导出!V8,"#.00")=TEXT(计算!V8*100, "#.00")</f>
        <v>1</v>
      </c>
      <c r="W10" s="65" t="b">
        <f>TEXT(导出!W8,"#.00")=TEXT(计算!W8, "#.00")</f>
        <v>1</v>
      </c>
      <c r="X10" s="65" t="b">
        <f>TEXT(导出!X8,"#.00")=TEXT(计算!X8, "#.00")</f>
        <v>1</v>
      </c>
      <c r="Y10" s="65" t="b">
        <f>TEXT(导出!Y8,"#.00")=TEXT(计算!Y8, "#.00")</f>
        <v>1</v>
      </c>
      <c r="Z10" s="65" t="b">
        <f>TEXT(导出!Z8,"#.00")=TEXT(计算!Z8, "#.00")</f>
        <v>1</v>
      </c>
      <c r="AA10" s="65" t="b">
        <f>TEXT(导出!AA8,"#.00")=TEXT(计算!AA8*100, "#.00")</f>
        <v>1</v>
      </c>
      <c r="AB10" s="65" t="b">
        <f>TEXT(导出!AB8,"#.00")=TEXT(计算!AB8, "#.00")</f>
        <v>1</v>
      </c>
      <c r="AC10" s="65" t="b">
        <f>TEXT(导出!AC8,"#.00")=TEXT(计算!AC8, "#.00")</f>
        <v>1</v>
      </c>
      <c r="AD10" s="65" t="b">
        <f>TEXT(导出!AD8,"#.00")=TEXT(计算!AD8, "#.00")</f>
        <v>1</v>
      </c>
      <c r="AE10" s="65" t="b">
        <f>ABS(导出!AE8-计算!AE8)&lt;10</f>
        <v>1</v>
      </c>
      <c r="AF10" s="65" t="b">
        <f>TEXT(ABS(导出!AF8),"#.00")=TEXT(ABS(计算!AF8), "#.00")</f>
        <v>1</v>
      </c>
      <c r="AG10" s="65" t="b">
        <f>TEXT(导出!AG8,"#.00")=TEXT(计算!AG8, "#.00")</f>
        <v>1</v>
      </c>
      <c r="AH10" s="65" t="b">
        <f>TEXT(导出!AH8,"#.00")=TEXT(计算!AH8, "#.00")</f>
        <v>1</v>
      </c>
      <c r="AI10">
        <v>0</v>
      </c>
      <c r="AJ10" s="3">
        <v>41912.686249999999</v>
      </c>
      <c r="AK10" s="2" t="s">
        <v>2305</v>
      </c>
    </row>
    <row r="11" spans="1:37" x14ac:dyDescent="0.15">
      <c r="A11" s="2" t="s">
        <v>2304</v>
      </c>
      <c r="B11">
        <v>332</v>
      </c>
      <c r="C11" s="3">
        <v>40491</v>
      </c>
      <c r="D11" s="2" t="s">
        <v>37</v>
      </c>
      <c r="E11" s="2" t="s">
        <v>2303</v>
      </c>
      <c r="F11" s="2" t="s">
        <v>38</v>
      </c>
      <c r="G11" s="2" t="s">
        <v>55</v>
      </c>
      <c r="H11" s="2" t="s">
        <v>56</v>
      </c>
      <c r="I11" s="65" t="b">
        <f>导出!I9=计算!I9</f>
        <v>1</v>
      </c>
      <c r="J11" s="65" t="b">
        <f>导出!J9=计算!J9</f>
        <v>1</v>
      </c>
      <c r="K11" s="65" t="b">
        <f>导出!K9=计算!K9</f>
        <v>1</v>
      </c>
      <c r="L11" s="65" t="b">
        <f>导出!L9=计算!L9</f>
        <v>1</v>
      </c>
      <c r="M11" s="65" t="b">
        <f>导出!M9=计算!M9</f>
        <v>1</v>
      </c>
      <c r="N11" s="65" t="b">
        <f>TEXT(导出!N9,"#.00")=TEXT(计算!N9, "#.00")</f>
        <v>1</v>
      </c>
      <c r="O11" s="65" t="b">
        <f>TEXT(导出!O9,"#.00")=TEXT(计算!O9, "#.00")</f>
        <v>1</v>
      </c>
      <c r="P11" s="65" t="b">
        <f>TEXT(导出!P9,"#.00")=TEXT(计算!P9, "#.00")</f>
        <v>1</v>
      </c>
      <c r="Q11" s="65" t="b">
        <f>TEXT(导出!Q9,"#.00")=TEXT(计算!Q9, "#.00")</f>
        <v>0</v>
      </c>
      <c r="R11" s="65" t="b">
        <f>TEXT(导出!R9,"#.00")=TEXT(计算!R9, "#.00")</f>
        <v>1</v>
      </c>
      <c r="S11" s="65" t="b">
        <f>TEXT(导出!S9,"#.00")=TEXT(计算!S9, "#.00")</f>
        <v>1</v>
      </c>
      <c r="T11" s="65" t="b">
        <f>TEXT(导出!T9,"#.00")=TEXT(计算!T9, "#.00")</f>
        <v>1</v>
      </c>
      <c r="U11" s="65" t="b">
        <f>TEXT(导出!U9,"#.00")=TEXT(计算!U9, "#.00")</f>
        <v>1</v>
      </c>
      <c r="V11" s="65" t="b">
        <f>TEXT(导出!V9,"#.00")=TEXT(计算!V9*100, "#.00")</f>
        <v>1</v>
      </c>
      <c r="W11" s="65" t="b">
        <f>TEXT(导出!W9,"#.00")=TEXT(计算!W9, "#.00")</f>
        <v>1</v>
      </c>
      <c r="X11" s="65" t="b">
        <f>TEXT(导出!X9,"#.00")=TEXT(计算!X9, "#.00")</f>
        <v>1</v>
      </c>
      <c r="Y11" s="65" t="b">
        <f>TEXT(导出!Y9,"#.00")=TEXT(计算!Y9, "#.00")</f>
        <v>1</v>
      </c>
      <c r="Z11" s="65" t="b">
        <f>TEXT(导出!Z9,"#.00")=TEXT(计算!Z9, "#.00")</f>
        <v>1</v>
      </c>
      <c r="AA11" s="65" t="b">
        <f>TEXT(导出!AA9,"#.00")=TEXT(计算!AA9*100, "#.00")</f>
        <v>1</v>
      </c>
      <c r="AB11" s="65" t="b">
        <f>TEXT(导出!AB9,"#.00")=TEXT(计算!AB9, "#.00")</f>
        <v>1</v>
      </c>
      <c r="AC11" s="65" t="b">
        <f>TEXT(导出!AC9,"#.00")=TEXT(计算!AC9, "#.00")</f>
        <v>1</v>
      </c>
      <c r="AD11" s="65" t="b">
        <f>TEXT(导出!AD9,"#.00")=TEXT(计算!AD9, "#.00")</f>
        <v>1</v>
      </c>
      <c r="AE11" s="65" t="b">
        <f>ABS(导出!AE9-计算!AE9)&lt;10</f>
        <v>1</v>
      </c>
      <c r="AF11" s="65" t="b">
        <f>TEXT(ABS(导出!AF9),"#.00")=TEXT(ABS(计算!AF9), "#.00")</f>
        <v>1</v>
      </c>
      <c r="AG11" s="65" t="b">
        <f>TEXT(导出!AG9,"#.00")=TEXT(计算!AG9, "#.00")</f>
        <v>1</v>
      </c>
      <c r="AH11" s="65" t="b">
        <f>TEXT(导出!AH9,"#.00")=TEXT(计算!AH9, "#.00")</f>
        <v>1</v>
      </c>
      <c r="AI11">
        <v>0</v>
      </c>
      <c r="AJ11" s="3">
        <v>41912.686249999999</v>
      </c>
      <c r="AK11" s="2" t="s">
        <v>2302</v>
      </c>
    </row>
    <row r="12" spans="1:37" x14ac:dyDescent="0.15">
      <c r="A12" s="2" t="s">
        <v>2301</v>
      </c>
      <c r="B12">
        <v>19</v>
      </c>
      <c r="C12" s="3">
        <v>40544</v>
      </c>
      <c r="D12" s="2" t="s">
        <v>37</v>
      </c>
      <c r="E12" s="2" t="s">
        <v>2300</v>
      </c>
      <c r="F12" s="2" t="s">
        <v>41</v>
      </c>
      <c r="G12" s="2" t="s">
        <v>57</v>
      </c>
      <c r="H12" s="2" t="s">
        <v>58</v>
      </c>
      <c r="I12" s="65" t="b">
        <f>导出!I10=计算!I10</f>
        <v>1</v>
      </c>
      <c r="J12" s="65" t="b">
        <f>导出!J10=计算!J10</f>
        <v>1</v>
      </c>
      <c r="K12" s="65" t="b">
        <f>导出!K10=计算!K10</f>
        <v>1</v>
      </c>
      <c r="L12" s="65" t="b">
        <f>导出!L10=计算!L10</f>
        <v>1</v>
      </c>
      <c r="M12" s="65" t="b">
        <f>导出!M10=计算!M10</f>
        <v>1</v>
      </c>
      <c r="N12" s="65" t="b">
        <f>TEXT(导出!N10,"#.00")=TEXT(计算!N10, "#.00")</f>
        <v>1</v>
      </c>
      <c r="O12" s="65" t="b">
        <f>TEXT(导出!O10,"#.00")=TEXT(计算!O10, "#.00")</f>
        <v>1</v>
      </c>
      <c r="P12" s="65" t="b">
        <f>TEXT(导出!P10,"#.00")=TEXT(计算!P10, "#.00")</f>
        <v>1</v>
      </c>
      <c r="Q12" s="65" t="b">
        <f>TEXT(导出!Q10,"#.00")=TEXT(计算!Q10, "#.00")</f>
        <v>1</v>
      </c>
      <c r="R12" s="65" t="b">
        <f>TEXT(导出!R10,"#.00")=TEXT(计算!R10, "#.00")</f>
        <v>1</v>
      </c>
      <c r="S12" s="65" t="b">
        <f>TEXT(导出!S10,"#.00")=TEXT(计算!S10, "#.00")</f>
        <v>1</v>
      </c>
      <c r="T12" s="65" t="b">
        <f>TEXT(导出!T10,"#.00")=TEXT(计算!T10, "#.00")</f>
        <v>1</v>
      </c>
      <c r="U12" s="65" t="b">
        <f>TEXT(导出!U10,"#.00")=TEXT(计算!U10, "#.00")</f>
        <v>1</v>
      </c>
      <c r="V12" s="65" t="b">
        <f>TEXT(导出!V10,"#.00")=TEXT(计算!V10*100, "#.00")</f>
        <v>1</v>
      </c>
      <c r="W12" s="65" t="b">
        <f>TEXT(导出!W10,"#.00")=TEXT(计算!W10, "#.00")</f>
        <v>1</v>
      </c>
      <c r="X12" s="65" t="b">
        <f>TEXT(导出!X10,"#.00")=TEXT(计算!X10, "#.00")</f>
        <v>1</v>
      </c>
      <c r="Y12" s="65" t="b">
        <f>TEXT(导出!Y10,"#.00")=TEXT(计算!Y10, "#.00")</f>
        <v>1</v>
      </c>
      <c r="Z12" s="65" t="b">
        <f>TEXT(导出!Z10,"#.00")=TEXT(计算!Z10, "#.00")</f>
        <v>1</v>
      </c>
      <c r="AA12" s="65" t="b">
        <f>TEXT(导出!AA10,"#.00")=TEXT(计算!AA10*100, "#.00")</f>
        <v>1</v>
      </c>
      <c r="AB12" s="65" t="b">
        <f>TEXT(导出!AB10,"#.00")=TEXT(计算!AB10, "#.00")</f>
        <v>1</v>
      </c>
      <c r="AC12" s="65" t="b">
        <f>TEXT(导出!AC10,"#.00")=TEXT(计算!AC10, "#.00")</f>
        <v>1</v>
      </c>
      <c r="AD12" s="65" t="b">
        <f>TEXT(导出!AD10,"#.00")=TEXT(计算!AD10, "#.00")</f>
        <v>1</v>
      </c>
      <c r="AE12" s="65" t="b">
        <f>ABS(导出!AE10-计算!AE10)&lt;10</f>
        <v>1</v>
      </c>
      <c r="AF12" s="65" t="b">
        <f>TEXT(ABS(导出!AF10),"#.00")=TEXT(ABS(计算!AF10), "#.00")</f>
        <v>1</v>
      </c>
      <c r="AG12" s="65" t="b">
        <f>TEXT(导出!AG10,"#.00")=TEXT(计算!AG10, "#.00")</f>
        <v>1</v>
      </c>
      <c r="AH12" s="65" t="b">
        <f>TEXT(导出!AH10,"#.00")=TEXT(计算!AH10, "#.00")</f>
        <v>1</v>
      </c>
      <c r="AI12">
        <v>0</v>
      </c>
      <c r="AJ12" s="3">
        <v>41912.6862384259</v>
      </c>
      <c r="AK12" s="2" t="s">
        <v>2299</v>
      </c>
    </row>
    <row r="13" spans="1:37" x14ac:dyDescent="0.15">
      <c r="A13" s="2" t="s">
        <v>2298</v>
      </c>
      <c r="B13">
        <v>23</v>
      </c>
      <c r="C13" s="3">
        <v>40664</v>
      </c>
      <c r="D13" s="2" t="s">
        <v>37</v>
      </c>
      <c r="E13" s="2" t="s">
        <v>2297</v>
      </c>
      <c r="F13" s="2" t="s">
        <v>41</v>
      </c>
      <c r="G13" s="2" t="s">
        <v>59</v>
      </c>
      <c r="H13" s="2" t="s">
        <v>60</v>
      </c>
      <c r="I13" s="65" t="b">
        <f>导出!I11=计算!I11</f>
        <v>1</v>
      </c>
      <c r="J13" s="65" t="b">
        <f>导出!J11=计算!J11</f>
        <v>1</v>
      </c>
      <c r="K13" s="65" t="b">
        <f>导出!K11=计算!K11</f>
        <v>1</v>
      </c>
      <c r="L13" s="65" t="b">
        <f>导出!L11=计算!L11</f>
        <v>1</v>
      </c>
      <c r="M13" s="65" t="b">
        <f>导出!M11=计算!M11</f>
        <v>1</v>
      </c>
      <c r="N13" s="65" t="b">
        <f>TEXT(导出!N11,"#.00")=TEXT(计算!N11, "#.00")</f>
        <v>1</v>
      </c>
      <c r="O13" s="65" t="b">
        <f>TEXT(导出!O11,"#.00")=TEXT(计算!O11, "#.00")</f>
        <v>1</v>
      </c>
      <c r="P13" s="65" t="b">
        <f>TEXT(导出!P11,"#.00")=TEXT(计算!P11, "#.00")</f>
        <v>1</v>
      </c>
      <c r="Q13" s="65" t="b">
        <f>TEXT(导出!Q11,"#.00")=TEXT(计算!Q11, "#.00")</f>
        <v>1</v>
      </c>
      <c r="R13" s="65" t="b">
        <f>TEXT(导出!R11,"#.00")=TEXT(计算!R11, "#.00")</f>
        <v>1</v>
      </c>
      <c r="S13" s="65" t="b">
        <f>TEXT(导出!S11,"#.00")=TEXT(计算!S11, "#.00")</f>
        <v>1</v>
      </c>
      <c r="T13" s="65" t="b">
        <f>TEXT(导出!T11,"#.00")=TEXT(计算!T11, "#.00")</f>
        <v>1</v>
      </c>
      <c r="U13" s="65" t="b">
        <f>TEXT(导出!U11,"#.00")=TEXT(计算!U11, "#.00")</f>
        <v>1</v>
      </c>
      <c r="V13" s="65" t="b">
        <f>TEXT(导出!V11,"#.00")=TEXT(计算!V11*100, "#.00")</f>
        <v>1</v>
      </c>
      <c r="W13" s="65" t="b">
        <f>TEXT(导出!W11,"#.00")=TEXT(计算!W11, "#.00")</f>
        <v>1</v>
      </c>
      <c r="X13" s="65" t="b">
        <f>TEXT(导出!X11,"#.00")=TEXT(计算!X11, "#.00")</f>
        <v>1</v>
      </c>
      <c r="Y13" s="65" t="b">
        <f>TEXT(导出!Y11,"#.00")=TEXT(计算!Y11, "#.00")</f>
        <v>1</v>
      </c>
      <c r="Z13" s="65" t="b">
        <f>TEXT(导出!Z11,"#.00")=TEXT(计算!Z11, "#.00")</f>
        <v>0</v>
      </c>
      <c r="AA13" s="65" t="b">
        <f>TEXT(导出!AA11,"#.00")=TEXT(计算!AA11*100, "#.00")</f>
        <v>1</v>
      </c>
      <c r="AB13" s="65" t="b">
        <f>TEXT(导出!AB11,"#.00")=TEXT(计算!AB11, "#.00")</f>
        <v>1</v>
      </c>
      <c r="AC13" s="65" t="b">
        <f>TEXT(导出!AC11,"#.00")=TEXT(计算!AC11, "#.00")</f>
        <v>1</v>
      </c>
      <c r="AD13" s="65" t="b">
        <f>TEXT(导出!AD11,"#.00")=TEXT(计算!AD11, "#.00")</f>
        <v>1</v>
      </c>
      <c r="AE13" s="65" t="b">
        <f>ABS(导出!AE11-计算!AE11)&lt;10</f>
        <v>1</v>
      </c>
      <c r="AF13" s="65" t="b">
        <f>TEXT(ABS(导出!AF11),"#.00")=TEXT(ABS(计算!AF11), "#.00")</f>
        <v>1</v>
      </c>
      <c r="AG13" s="65" t="b">
        <f>TEXT(导出!AG11,"#.00")=TEXT(计算!AG11, "#.00")</f>
        <v>1</v>
      </c>
      <c r="AH13" s="65" t="b">
        <f>TEXT(导出!AH11,"#.00")=TEXT(计算!AH11, "#.00")</f>
        <v>1</v>
      </c>
      <c r="AI13">
        <v>0</v>
      </c>
      <c r="AJ13" s="3">
        <v>41912.6862384259</v>
      </c>
      <c r="AK13" s="2" t="s">
        <v>2296</v>
      </c>
    </row>
    <row r="14" spans="1:37" x14ac:dyDescent="0.15">
      <c r="A14" s="2" t="s">
        <v>2295</v>
      </c>
      <c r="B14">
        <v>341</v>
      </c>
      <c r="C14" s="3">
        <v>40683</v>
      </c>
      <c r="D14" s="2" t="s">
        <v>37</v>
      </c>
      <c r="E14" s="2" t="s">
        <v>2294</v>
      </c>
      <c r="F14" s="2" t="s">
        <v>38</v>
      </c>
      <c r="G14" s="2" t="s">
        <v>1683</v>
      </c>
      <c r="H14" s="2" t="s">
        <v>1682</v>
      </c>
      <c r="I14" s="65" t="b">
        <f>导出!I12=计算!I12</f>
        <v>1</v>
      </c>
      <c r="J14" s="65" t="b">
        <f>导出!J12=计算!J12</f>
        <v>1</v>
      </c>
      <c r="K14" s="65" t="b">
        <f>导出!K12=计算!K12</f>
        <v>1</v>
      </c>
      <c r="L14" s="65" t="b">
        <f>导出!L12=计算!L12</f>
        <v>1</v>
      </c>
      <c r="M14" s="65" t="b">
        <f>导出!M12=计算!M12</f>
        <v>1</v>
      </c>
      <c r="N14" s="65" t="b">
        <f>TEXT(导出!N12,"#.00")=TEXT(计算!N12, "#.00")</f>
        <v>1</v>
      </c>
      <c r="O14" s="65" t="b">
        <f>TEXT(导出!O12,"#.00")=TEXT(计算!O12, "#.00")</f>
        <v>1</v>
      </c>
      <c r="P14" s="65" t="b">
        <f>TEXT(导出!P12,"#.00")=TEXT(计算!P12, "#.00")</f>
        <v>1</v>
      </c>
      <c r="Q14" s="65" t="b">
        <f>TEXT(导出!Q12,"#.00")=TEXT(计算!Q12, "#.00")</f>
        <v>1</v>
      </c>
      <c r="R14" s="65" t="b">
        <f>TEXT(导出!R12,"#.00")=TEXT(计算!R12, "#.00")</f>
        <v>1</v>
      </c>
      <c r="S14" s="65" t="b">
        <f>TEXT(导出!S12,"#.00")=TEXT(计算!S12, "#.00")</f>
        <v>1</v>
      </c>
      <c r="T14" s="65" t="b">
        <f>TEXT(导出!T12,"#.00")=TEXT(计算!T12, "#.00")</f>
        <v>1</v>
      </c>
      <c r="U14" s="65" t="b">
        <f>TEXT(导出!U12,"#.00")=TEXT(计算!U12, "#.00")</f>
        <v>1</v>
      </c>
      <c r="V14" s="65" t="b">
        <f>TEXT(导出!V12,"#.00")=TEXT(计算!V12*100, "#.00")</f>
        <v>1</v>
      </c>
      <c r="W14" s="65" t="b">
        <f>TEXT(导出!W12,"#.00")=TEXT(计算!W12, "#.00")</f>
        <v>1</v>
      </c>
      <c r="X14" s="65" t="b">
        <f>TEXT(导出!X12,"#.00")=TEXT(计算!X12, "#.00")</f>
        <v>1</v>
      </c>
      <c r="Y14" s="65" t="b">
        <f>TEXT(导出!Y12,"#.00")=TEXT(计算!Y12, "#.00")</f>
        <v>1</v>
      </c>
      <c r="Z14" s="65" t="b">
        <f>TEXT(导出!Z12,"#.00")=TEXT(计算!Z12, "#.00")</f>
        <v>1</v>
      </c>
      <c r="AA14" s="65" t="b">
        <f>TEXT(导出!AA12,"#.00")=TEXT(计算!AA12*100, "#.00")</f>
        <v>1</v>
      </c>
      <c r="AB14" s="65" t="b">
        <f>TEXT(导出!AB12,"#.00")=TEXT(计算!AB12, "#.00")</f>
        <v>1</v>
      </c>
      <c r="AC14" s="65" t="b">
        <f>TEXT(导出!AC12,"#.00")=TEXT(计算!AC12, "#.00")</f>
        <v>1</v>
      </c>
      <c r="AD14" s="65" t="b">
        <f>TEXT(导出!AD12,"#.00")=TEXT(计算!AD12, "#.00")</f>
        <v>1</v>
      </c>
      <c r="AE14" s="65" t="b">
        <f>ABS(导出!AE12-计算!AE12)&lt;10</f>
        <v>1</v>
      </c>
      <c r="AF14" s="65" t="b">
        <f>TEXT(ABS(导出!AF12),"#.00")=TEXT(ABS(计算!AF12), "#.00")</f>
        <v>1</v>
      </c>
      <c r="AG14" s="65" t="b">
        <f>TEXT(导出!AG12,"#.00")=TEXT(计算!AG12, "#.00")</f>
        <v>1</v>
      </c>
      <c r="AH14" s="65" t="b">
        <f>TEXT(导出!AH12,"#.00")=TEXT(计算!AH12, "#.00")</f>
        <v>1</v>
      </c>
      <c r="AI14">
        <v>0</v>
      </c>
      <c r="AJ14" s="3">
        <v>41912.686249999999</v>
      </c>
      <c r="AK14" s="2" t="s">
        <v>2293</v>
      </c>
    </row>
    <row r="15" spans="1:37" x14ac:dyDescent="0.15">
      <c r="A15" s="2" t="s">
        <v>2292</v>
      </c>
      <c r="B15">
        <v>28</v>
      </c>
      <c r="C15" s="3">
        <v>40725</v>
      </c>
      <c r="D15" s="2" t="s">
        <v>37</v>
      </c>
      <c r="E15" s="2" t="s">
        <v>2291</v>
      </c>
      <c r="F15" s="2" t="s">
        <v>41</v>
      </c>
      <c r="G15" s="2" t="s">
        <v>63</v>
      </c>
      <c r="H15" s="2" t="s">
        <v>60</v>
      </c>
      <c r="I15" s="65" t="b">
        <f>导出!I13=计算!I13</f>
        <v>1</v>
      </c>
      <c r="J15" s="65" t="b">
        <f>导出!J13=计算!J13</f>
        <v>1</v>
      </c>
      <c r="K15" s="65" t="b">
        <f>导出!K13=计算!K13</f>
        <v>1</v>
      </c>
      <c r="L15" s="65" t="b">
        <f>导出!L13=计算!L13</f>
        <v>1</v>
      </c>
      <c r="M15" s="65" t="b">
        <f>导出!M13=计算!M13</f>
        <v>1</v>
      </c>
      <c r="N15" s="65" t="b">
        <f>TEXT(导出!N13,"#.00")=TEXT(计算!N13, "#.00")</f>
        <v>1</v>
      </c>
      <c r="O15" s="65" t="b">
        <f>TEXT(导出!O13,"#.00")=TEXT(计算!O13, "#.00")</f>
        <v>1</v>
      </c>
      <c r="P15" s="65" t="b">
        <f>TEXT(导出!P13,"#.00")=TEXT(计算!P13, "#.00")</f>
        <v>1</v>
      </c>
      <c r="Q15" s="65" t="b">
        <f>TEXT(导出!Q13,"#.00")=TEXT(计算!Q13, "#.00")</f>
        <v>1</v>
      </c>
      <c r="R15" s="65" t="b">
        <f>TEXT(导出!R13,"#.00")=TEXT(计算!R13, "#.00")</f>
        <v>1</v>
      </c>
      <c r="S15" s="65" t="b">
        <f>TEXT(导出!S13,"#.00")=TEXT(计算!S13, "#.00")</f>
        <v>1</v>
      </c>
      <c r="T15" s="65" t="b">
        <f>TEXT(导出!T13,"#.00")=TEXT(计算!T13, "#.00")</f>
        <v>1</v>
      </c>
      <c r="U15" s="65" t="b">
        <f>TEXT(导出!U13,"#.00")=TEXT(计算!U13, "#.00")</f>
        <v>1</v>
      </c>
      <c r="V15" s="65" t="b">
        <f>TEXT(导出!V13,"#.00")=TEXT(计算!V13*100, "#.00")</f>
        <v>1</v>
      </c>
      <c r="W15" s="65" t="b">
        <f>TEXT(导出!W13,"#.00")=TEXT(计算!W13, "#.00")</f>
        <v>1</v>
      </c>
      <c r="X15" s="65" t="b">
        <f>TEXT(导出!X13,"#.00")=TEXT(计算!X13, "#.00")</f>
        <v>1</v>
      </c>
      <c r="Y15" s="65" t="b">
        <f>TEXT(导出!Y13,"#.00")=TEXT(计算!Y13, "#.00")</f>
        <v>1</v>
      </c>
      <c r="Z15" s="65" t="b">
        <f>TEXT(导出!Z13,"#.00")=TEXT(计算!Z13, "#.00")</f>
        <v>1</v>
      </c>
      <c r="AA15" s="65" t="b">
        <f>TEXT(导出!AA13,"#.00")=TEXT(计算!AA13*100, "#.00")</f>
        <v>1</v>
      </c>
      <c r="AB15" s="65" t="b">
        <f>TEXT(导出!AB13,"#.00")=TEXT(计算!AB13, "#.00")</f>
        <v>1</v>
      </c>
      <c r="AC15" s="65" t="b">
        <f>TEXT(导出!AC13,"#.00")=TEXT(计算!AC13, "#.00")</f>
        <v>1</v>
      </c>
      <c r="AD15" s="65" t="b">
        <f>TEXT(导出!AD13,"#.00")=TEXT(计算!AD13, "#.00")</f>
        <v>1</v>
      </c>
      <c r="AE15" s="65" t="b">
        <f>ABS(导出!AE13-计算!AE13)&lt;10</f>
        <v>1</v>
      </c>
      <c r="AF15" s="65" t="b">
        <f>TEXT(ABS(导出!AF13),"#.00")=TEXT(ABS(计算!AF13), "#.00")</f>
        <v>1</v>
      </c>
      <c r="AG15" s="65" t="b">
        <f>TEXT(导出!AG13,"#.00")=TEXT(计算!AG13, "#.00")</f>
        <v>1</v>
      </c>
      <c r="AH15" s="65" t="b">
        <f>TEXT(导出!AH13,"#.00")=TEXT(计算!AH13, "#.00")</f>
        <v>1</v>
      </c>
      <c r="AI15">
        <v>0</v>
      </c>
      <c r="AJ15" s="3">
        <v>41912.6862384259</v>
      </c>
      <c r="AK15" s="2" t="s">
        <v>2290</v>
      </c>
    </row>
    <row r="16" spans="1:37" x14ac:dyDescent="0.15">
      <c r="A16" s="2" t="s">
        <v>2289</v>
      </c>
      <c r="B16">
        <v>27</v>
      </c>
      <c r="C16" s="3">
        <v>40725</v>
      </c>
      <c r="D16" s="2" t="s">
        <v>37</v>
      </c>
      <c r="E16" s="2" t="s">
        <v>2288</v>
      </c>
      <c r="F16" s="2" t="s">
        <v>41</v>
      </c>
      <c r="G16" s="2" t="s">
        <v>61</v>
      </c>
      <c r="H16" s="2" t="s">
        <v>62</v>
      </c>
      <c r="I16" s="65" t="b">
        <f>导出!I14=计算!I14</f>
        <v>1</v>
      </c>
      <c r="J16" s="65" t="b">
        <f>导出!J14=计算!J14</f>
        <v>1</v>
      </c>
      <c r="K16" s="65" t="b">
        <f>导出!K14=计算!K14</f>
        <v>1</v>
      </c>
      <c r="L16" s="65" t="b">
        <f>导出!L14=计算!L14</f>
        <v>1</v>
      </c>
      <c r="M16" s="65" t="b">
        <f>导出!M14=计算!M14</f>
        <v>1</v>
      </c>
      <c r="N16" s="65" t="b">
        <f>TEXT(导出!N14,"#.00")=TEXT(计算!N14, "#.00")</f>
        <v>1</v>
      </c>
      <c r="O16" s="65" t="b">
        <f>TEXT(导出!O14,"#.00")=TEXT(计算!O14, "#.00")</f>
        <v>1</v>
      </c>
      <c r="P16" s="65" t="b">
        <f>TEXT(导出!P14,"#.00")=TEXT(计算!P14, "#.00")</f>
        <v>1</v>
      </c>
      <c r="Q16" s="65" t="b">
        <f>TEXT(导出!Q14,"#.00")=TEXT(计算!Q14, "#.00")</f>
        <v>1</v>
      </c>
      <c r="R16" s="65" t="b">
        <f>TEXT(导出!R14,"#.00")=TEXT(计算!R14, "#.00")</f>
        <v>1</v>
      </c>
      <c r="S16" s="65" t="b">
        <f>TEXT(导出!S14,"#.00")=TEXT(计算!S14, "#.00")</f>
        <v>1</v>
      </c>
      <c r="T16" s="65" t="b">
        <f>TEXT(导出!T14,"#.00")=TEXT(计算!T14, "#.00")</f>
        <v>1</v>
      </c>
      <c r="U16" s="65" t="b">
        <f>TEXT(导出!U14,"#.00")=TEXT(计算!U14, "#.00")</f>
        <v>1</v>
      </c>
      <c r="V16" s="65" t="b">
        <f>TEXT(导出!V14,"#.00")=TEXT(计算!V14*100, "#.00")</f>
        <v>1</v>
      </c>
      <c r="W16" s="65" t="b">
        <f>TEXT(导出!W14,"#.00")=TEXT(计算!W14, "#.00")</f>
        <v>1</v>
      </c>
      <c r="X16" s="65" t="b">
        <f>TEXT(导出!X14,"#.00")=TEXT(计算!X14, "#.00")</f>
        <v>1</v>
      </c>
      <c r="Y16" s="65" t="b">
        <f>TEXT(导出!Y14,"#.00")=TEXT(计算!Y14, "#.00")</f>
        <v>1</v>
      </c>
      <c r="Z16" s="65" t="b">
        <f>TEXT(导出!Z14,"#.00")=TEXT(计算!Z14, "#.00")</f>
        <v>0</v>
      </c>
      <c r="AA16" s="65" t="b">
        <f>TEXT(导出!AA14,"#.00")=TEXT(计算!AA14*100, "#.00")</f>
        <v>1</v>
      </c>
      <c r="AB16" s="65" t="b">
        <f>TEXT(导出!AB14,"#.00")=TEXT(计算!AB14, "#.00")</f>
        <v>1</v>
      </c>
      <c r="AC16" s="65" t="b">
        <f>TEXT(导出!AC14,"#.00")=TEXT(计算!AC14, "#.00")</f>
        <v>1</v>
      </c>
      <c r="AD16" s="65" t="b">
        <f>TEXT(导出!AD14,"#.00")=TEXT(计算!AD14, "#.00")</f>
        <v>1</v>
      </c>
      <c r="AE16" s="65" t="b">
        <f>ABS(导出!AE14-计算!AE14)&lt;10</f>
        <v>1</v>
      </c>
      <c r="AF16" s="65" t="b">
        <f>TEXT(ABS(导出!AF14),"#.00")=TEXT(ABS(计算!AF14), "#.00")</f>
        <v>1</v>
      </c>
      <c r="AG16" s="65" t="b">
        <f>TEXT(导出!AG14,"#.00")=TEXT(计算!AG14, "#.00")</f>
        <v>1</v>
      </c>
      <c r="AH16" s="65" t="b">
        <f>TEXT(导出!AH14,"#.00")=TEXT(计算!AH14, "#.00")</f>
        <v>1</v>
      </c>
      <c r="AI16">
        <v>0</v>
      </c>
      <c r="AJ16" s="3">
        <v>41912.6862384259</v>
      </c>
      <c r="AK16" s="2" t="s">
        <v>2287</v>
      </c>
    </row>
    <row r="17" spans="1:37" x14ac:dyDescent="0.15">
      <c r="A17" s="2" t="s">
        <v>2286</v>
      </c>
      <c r="B17">
        <v>350</v>
      </c>
      <c r="C17" s="3">
        <v>40828</v>
      </c>
      <c r="D17" s="2" t="s">
        <v>37</v>
      </c>
      <c r="E17" s="2" t="s">
        <v>2285</v>
      </c>
      <c r="F17" s="2" t="s">
        <v>38</v>
      </c>
      <c r="G17" s="2" t="s">
        <v>64</v>
      </c>
      <c r="H17" s="2" t="s">
        <v>65</v>
      </c>
      <c r="I17" s="65" t="b">
        <f>导出!I15=计算!I15</f>
        <v>1</v>
      </c>
      <c r="J17" s="65" t="b">
        <f>导出!J15=计算!J15</f>
        <v>1</v>
      </c>
      <c r="K17" s="65" t="b">
        <f>导出!K15=计算!K15</f>
        <v>1</v>
      </c>
      <c r="L17" s="65" t="b">
        <f>导出!L15=计算!L15</f>
        <v>1</v>
      </c>
      <c r="M17" s="65" t="b">
        <f>导出!M15=计算!M15</f>
        <v>1</v>
      </c>
      <c r="N17" s="65" t="b">
        <f>TEXT(导出!N15,"#.00")=TEXT(计算!N15, "#.00")</f>
        <v>1</v>
      </c>
      <c r="O17" s="65" t="b">
        <f>TEXT(导出!O15,"#.00")=TEXT(计算!O15, "#.00")</f>
        <v>1</v>
      </c>
      <c r="P17" s="65" t="b">
        <f>TEXT(导出!P15,"#.00")=TEXT(计算!P15, "#.00")</f>
        <v>1</v>
      </c>
      <c r="Q17" s="65" t="b">
        <f>TEXT(导出!Q15,"#.00")=TEXT(计算!Q15, "#.00")</f>
        <v>1</v>
      </c>
      <c r="R17" s="65" t="b">
        <f>TEXT(导出!R15,"#.00")=TEXT(计算!R15, "#.00")</f>
        <v>1</v>
      </c>
      <c r="S17" s="65" t="b">
        <f>TEXT(导出!S15,"#.00")=TEXT(计算!S15, "#.00")</f>
        <v>1</v>
      </c>
      <c r="T17" s="65" t="b">
        <f>TEXT(导出!T15,"#.00")=TEXT(计算!T15, "#.00")</f>
        <v>1</v>
      </c>
      <c r="U17" s="65" t="b">
        <f>TEXT(导出!U15,"#.00")=TEXT(计算!U15, "#.00")</f>
        <v>1</v>
      </c>
      <c r="V17" s="65" t="b">
        <f>TEXT(导出!V15,"#.00")=TEXT(计算!V15*100, "#.00")</f>
        <v>1</v>
      </c>
      <c r="W17" s="65" t="b">
        <f>TEXT(导出!W15,"#.00")=TEXT(计算!W15, "#.00")</f>
        <v>1</v>
      </c>
      <c r="X17" s="65" t="b">
        <f>TEXT(导出!X15,"#.00")=TEXT(计算!X15, "#.00")</f>
        <v>1</v>
      </c>
      <c r="Y17" s="65" t="b">
        <f>TEXT(导出!Y15,"#.00")=TEXT(计算!Y15, "#.00")</f>
        <v>1</v>
      </c>
      <c r="Z17" s="65" t="b">
        <f>TEXT(导出!Z15,"#.00")=TEXT(计算!Z15, "#.00")</f>
        <v>1</v>
      </c>
      <c r="AA17" s="65" t="b">
        <f>TEXT(导出!AA15,"#.00")=TEXT(计算!AA15*100, "#.00")</f>
        <v>1</v>
      </c>
      <c r="AB17" s="65" t="b">
        <f>TEXT(导出!AB15,"#.00")=TEXT(计算!AB15, "#.00")</f>
        <v>1</v>
      </c>
      <c r="AC17" s="65" t="b">
        <f>TEXT(导出!AC15,"#.00")=TEXT(计算!AC15, "#.00")</f>
        <v>1</v>
      </c>
      <c r="AD17" s="65" t="b">
        <f>TEXT(导出!AD15,"#.00")=TEXT(计算!AD15, "#.00")</f>
        <v>1</v>
      </c>
      <c r="AE17" s="65" t="b">
        <f>ABS(导出!AE15-计算!AE15)&lt;10</f>
        <v>1</v>
      </c>
      <c r="AF17" s="65" t="b">
        <f>TEXT(ABS(导出!AF15),"#.00")=TEXT(ABS(计算!AF15), "#.00")</f>
        <v>1</v>
      </c>
      <c r="AG17" s="65" t="b">
        <f>TEXT(导出!AG15,"#.00")=TEXT(计算!AG15, "#.00")</f>
        <v>1</v>
      </c>
      <c r="AH17" s="65" t="b">
        <f>TEXT(导出!AH15,"#.00")=TEXT(计算!AH15, "#.00")</f>
        <v>1</v>
      </c>
      <c r="AI17">
        <v>0</v>
      </c>
      <c r="AJ17" s="3">
        <v>41912.686249999999</v>
      </c>
      <c r="AK17" s="2" t="s">
        <v>2284</v>
      </c>
    </row>
    <row r="18" spans="1:37" x14ac:dyDescent="0.15">
      <c r="A18" s="2" t="s">
        <v>2283</v>
      </c>
      <c r="B18">
        <v>374</v>
      </c>
      <c r="C18" s="3">
        <v>40907</v>
      </c>
      <c r="D18" s="2" t="s">
        <v>37</v>
      </c>
      <c r="E18" s="2" t="s">
        <v>2282</v>
      </c>
      <c r="F18" s="2" t="s">
        <v>38</v>
      </c>
      <c r="G18" s="2" t="s">
        <v>67</v>
      </c>
      <c r="H18" s="2" t="s">
        <v>68</v>
      </c>
      <c r="I18" s="65" t="b">
        <f>导出!I16=计算!I16</f>
        <v>1</v>
      </c>
      <c r="J18" s="65" t="b">
        <f>导出!J16=计算!J16</f>
        <v>1</v>
      </c>
      <c r="K18" s="65" t="b">
        <f>导出!K16=计算!K16</f>
        <v>1</v>
      </c>
      <c r="L18" s="65" t="b">
        <f>导出!L16=计算!L16</f>
        <v>1</v>
      </c>
      <c r="M18" s="65" t="b">
        <f>导出!M16=计算!M16</f>
        <v>1</v>
      </c>
      <c r="N18" s="65" t="b">
        <f>TEXT(导出!N16,"#.00")=TEXT(计算!N16, "#.00")</f>
        <v>1</v>
      </c>
      <c r="O18" s="65" t="b">
        <f>TEXT(导出!O16,"#.00")=TEXT(计算!O16, "#.00")</f>
        <v>1</v>
      </c>
      <c r="P18" s="65" t="b">
        <f>TEXT(导出!P16,"#.00")=TEXT(计算!P16, "#.00")</f>
        <v>1</v>
      </c>
      <c r="Q18" s="65" t="b">
        <f>TEXT(导出!Q16,"#.00")=TEXT(计算!Q16, "#.00")</f>
        <v>0</v>
      </c>
      <c r="R18" s="65" t="b">
        <f>TEXT(导出!R16,"#.00")=TEXT(计算!R16, "#.00")</f>
        <v>1</v>
      </c>
      <c r="S18" s="65" t="b">
        <f>TEXT(导出!S16,"#.00")=TEXT(计算!S16, "#.00")</f>
        <v>1</v>
      </c>
      <c r="T18" s="65" t="b">
        <f>TEXT(导出!T16,"#.00")=TEXT(计算!T16, "#.00")</f>
        <v>1</v>
      </c>
      <c r="U18" s="65" t="b">
        <f>TEXT(导出!U16,"#.00")=TEXT(计算!U16, "#.00")</f>
        <v>1</v>
      </c>
      <c r="V18" s="65" t="b">
        <f>TEXT(导出!V16,"#.00")=TEXT(计算!V16*100, "#.00")</f>
        <v>1</v>
      </c>
      <c r="W18" s="65" t="b">
        <f>TEXT(导出!W16,"#.00")=TEXT(计算!W16, "#.00")</f>
        <v>1</v>
      </c>
      <c r="X18" s="65" t="b">
        <f>TEXT(导出!X16,"#.00")=TEXT(计算!X16, "#.00")</f>
        <v>1</v>
      </c>
      <c r="Y18" s="65" t="b">
        <f>TEXT(导出!Y16,"#.00")=TEXT(计算!Y16, "#.00")</f>
        <v>1</v>
      </c>
      <c r="Z18" s="65" t="b">
        <f>TEXT(导出!Z16,"#.00")=TEXT(计算!Z16, "#.00")</f>
        <v>1</v>
      </c>
      <c r="AA18" s="65" t="b">
        <f>TEXT(导出!AA16,"#.00")=TEXT(计算!AA16*100, "#.00")</f>
        <v>1</v>
      </c>
      <c r="AB18" s="65" t="b">
        <f>TEXT(导出!AB16,"#.00")=TEXT(计算!AB16, "#.00")</f>
        <v>1</v>
      </c>
      <c r="AC18" s="65" t="b">
        <f>TEXT(导出!AC16,"#.00")=TEXT(计算!AC16, "#.00")</f>
        <v>1</v>
      </c>
      <c r="AD18" s="65" t="b">
        <f>TEXT(导出!AD16,"#.00")=TEXT(计算!AD16, "#.00")</f>
        <v>1</v>
      </c>
      <c r="AE18" s="65" t="b">
        <f>ABS(导出!AE16-计算!AE16)&lt;10</f>
        <v>1</v>
      </c>
      <c r="AF18" s="65" t="b">
        <f>TEXT(ABS(导出!AF16),"#.00")=TEXT(ABS(计算!AF16), "#.00")</f>
        <v>1</v>
      </c>
      <c r="AG18" s="65" t="b">
        <f>TEXT(导出!AG16,"#.00")=TEXT(计算!AG16, "#.00")</f>
        <v>1</v>
      </c>
      <c r="AH18" s="65" t="b">
        <f>TEXT(导出!AH16,"#.00")=TEXT(计算!AH16, "#.00")</f>
        <v>1</v>
      </c>
      <c r="AI18">
        <v>0</v>
      </c>
      <c r="AJ18" s="3">
        <v>41912.686249999999</v>
      </c>
      <c r="AK18" s="2" t="s">
        <v>2281</v>
      </c>
    </row>
    <row r="19" spans="1:37" x14ac:dyDescent="0.15">
      <c r="A19" s="2" t="s">
        <v>2280</v>
      </c>
      <c r="B19">
        <v>366</v>
      </c>
      <c r="C19" s="3">
        <v>40909</v>
      </c>
      <c r="D19" s="2" t="s">
        <v>37</v>
      </c>
      <c r="E19" s="2" t="s">
        <v>2279</v>
      </c>
      <c r="F19" s="2" t="s">
        <v>38</v>
      </c>
      <c r="G19" s="2" t="s">
        <v>70</v>
      </c>
      <c r="H19" s="2" t="s">
        <v>71</v>
      </c>
      <c r="I19" s="65" t="b">
        <f>导出!I17=计算!I17</f>
        <v>1</v>
      </c>
      <c r="J19" s="65" t="b">
        <f>导出!J17=计算!J17</f>
        <v>1</v>
      </c>
      <c r="K19" s="65" t="b">
        <f>导出!K17=计算!K17</f>
        <v>1</v>
      </c>
      <c r="L19" s="65" t="b">
        <f>导出!L17=计算!L17</f>
        <v>1</v>
      </c>
      <c r="M19" s="65" t="b">
        <f>导出!M17=计算!M17</f>
        <v>1</v>
      </c>
      <c r="N19" s="65" t="b">
        <f>TEXT(导出!N17,"#.00")=TEXT(计算!N17, "#.00")</f>
        <v>1</v>
      </c>
      <c r="O19" s="65" t="b">
        <f>TEXT(导出!O17,"#.00")=TEXT(计算!O17, "#.00")</f>
        <v>1</v>
      </c>
      <c r="P19" s="65" t="b">
        <f>TEXT(导出!P17,"#.00")=TEXT(计算!P17, "#.00")</f>
        <v>1</v>
      </c>
      <c r="Q19" s="65" t="b">
        <f>TEXT(导出!Q17,"#.00")=TEXT(计算!Q17, "#.00")</f>
        <v>0</v>
      </c>
      <c r="R19" s="65" t="b">
        <f>TEXT(导出!R17,"#.00")=TEXT(计算!R17, "#.00")</f>
        <v>1</v>
      </c>
      <c r="S19" s="65" t="b">
        <f>TEXT(导出!S17,"#.00")=TEXT(计算!S17, "#.00")</f>
        <v>1</v>
      </c>
      <c r="T19" s="65" t="b">
        <f>TEXT(导出!T17,"#.00")=TEXT(计算!T17, "#.00")</f>
        <v>1</v>
      </c>
      <c r="U19" s="65" t="b">
        <f>TEXT(导出!U17,"#.00")=TEXT(计算!U17, "#.00")</f>
        <v>1</v>
      </c>
      <c r="V19" s="65" t="b">
        <f>TEXT(导出!V17,"#.00")=TEXT(计算!V17*100, "#.00")</f>
        <v>1</v>
      </c>
      <c r="W19" s="65" t="b">
        <f>TEXT(导出!W17,"#.00")=TEXT(计算!W17, "#.00")</f>
        <v>1</v>
      </c>
      <c r="X19" s="65" t="b">
        <f>TEXT(导出!X17,"#.00")=TEXT(计算!X17, "#.00")</f>
        <v>1</v>
      </c>
      <c r="Y19" s="65" t="b">
        <f>TEXT(导出!Y17,"#.00")=TEXT(计算!Y17, "#.00")</f>
        <v>1</v>
      </c>
      <c r="Z19" s="65" t="b">
        <f>TEXT(导出!Z17,"#.00")=TEXT(计算!Z17, "#.00")</f>
        <v>1</v>
      </c>
      <c r="AA19" s="65" t="b">
        <f>TEXT(导出!AA17,"#.00")=TEXT(计算!AA17*100, "#.00")</f>
        <v>1</v>
      </c>
      <c r="AB19" s="65" t="b">
        <f>TEXT(导出!AB17,"#.00")=TEXT(计算!AB17, "#.00")</f>
        <v>1</v>
      </c>
      <c r="AC19" s="65" t="b">
        <f>TEXT(导出!AC17,"#.00")=TEXT(计算!AC17, "#.00")</f>
        <v>1</v>
      </c>
      <c r="AD19" s="65" t="b">
        <f>TEXT(导出!AD17,"#.00")=TEXT(计算!AD17, "#.00")</f>
        <v>1</v>
      </c>
      <c r="AE19" s="65" t="b">
        <f>ABS(导出!AE17-计算!AE17)&lt;10</f>
        <v>1</v>
      </c>
      <c r="AF19" s="65" t="b">
        <f>TEXT(ABS(导出!AF17),"#.00")=TEXT(ABS(计算!AF17), "#.00")</f>
        <v>1</v>
      </c>
      <c r="AG19" s="65" t="b">
        <f>TEXT(导出!AG17,"#.00")=TEXT(计算!AG17, "#.00")</f>
        <v>1</v>
      </c>
      <c r="AH19" s="65" t="b">
        <f>TEXT(导出!AH17,"#.00")=TEXT(计算!AH17, "#.00")</f>
        <v>1</v>
      </c>
      <c r="AI19">
        <v>0</v>
      </c>
      <c r="AJ19" s="3">
        <v>41912.686249999999</v>
      </c>
      <c r="AK19" s="2" t="s">
        <v>2278</v>
      </c>
    </row>
    <row r="20" spans="1:37" x14ac:dyDescent="0.15">
      <c r="A20" s="2" t="s">
        <v>2277</v>
      </c>
      <c r="B20">
        <v>33</v>
      </c>
      <c r="C20" s="3">
        <v>40909</v>
      </c>
      <c r="D20" s="2" t="s">
        <v>37</v>
      </c>
      <c r="E20" s="2" t="s">
        <v>2276</v>
      </c>
      <c r="F20" s="2" t="s">
        <v>41</v>
      </c>
      <c r="G20" s="2" t="s">
        <v>76</v>
      </c>
      <c r="H20" s="2" t="s">
        <v>77</v>
      </c>
      <c r="I20" s="65" t="b">
        <f>导出!I18=计算!I18</f>
        <v>1</v>
      </c>
      <c r="J20" s="65" t="b">
        <f>导出!J18=计算!J18</f>
        <v>1</v>
      </c>
      <c r="K20" s="65" t="b">
        <f>导出!K18=计算!K18</f>
        <v>1</v>
      </c>
      <c r="L20" s="65" t="b">
        <f>导出!L18=计算!L18</f>
        <v>1</v>
      </c>
      <c r="M20" s="65" t="b">
        <f>导出!M18=计算!M18</f>
        <v>1</v>
      </c>
      <c r="N20" s="65" t="b">
        <f>TEXT(导出!N18,"#.00")=TEXT(计算!N18, "#.00")</f>
        <v>1</v>
      </c>
      <c r="O20" s="65" t="b">
        <f>TEXT(导出!O18,"#.00")=TEXT(计算!O18, "#.00")</f>
        <v>1</v>
      </c>
      <c r="P20" s="65" t="b">
        <f>TEXT(导出!P18,"#.00")=TEXT(计算!P18, "#.00")</f>
        <v>1</v>
      </c>
      <c r="Q20" s="65" t="b">
        <f>TEXT(导出!Q18,"#.00")=TEXT(计算!Q18, "#.00")</f>
        <v>1</v>
      </c>
      <c r="R20" s="65" t="b">
        <f>TEXT(导出!R18,"#.00")=TEXT(计算!R18, "#.00")</f>
        <v>1</v>
      </c>
      <c r="S20" s="65" t="b">
        <f>TEXT(导出!S18,"#.00")=TEXT(计算!S18, "#.00")</f>
        <v>1</v>
      </c>
      <c r="T20" s="65" t="b">
        <f>TEXT(导出!T18,"#.00")=TEXT(计算!T18, "#.00")</f>
        <v>1</v>
      </c>
      <c r="U20" s="65" t="b">
        <f>TEXT(导出!U18,"#.00")=TEXT(计算!U18, "#.00")</f>
        <v>1</v>
      </c>
      <c r="V20" s="65" t="b">
        <f>TEXT(导出!V18,"#.00")=TEXT(计算!V18*100, "#.00")</f>
        <v>1</v>
      </c>
      <c r="W20" s="65" t="b">
        <f>TEXT(导出!W18,"#.00")=TEXT(计算!W18, "#.00")</f>
        <v>1</v>
      </c>
      <c r="X20" s="65" t="b">
        <f>TEXT(导出!X18,"#.00")=TEXT(计算!X18, "#.00")</f>
        <v>1</v>
      </c>
      <c r="Y20" s="65" t="b">
        <f>TEXT(导出!Y18,"#.00")=TEXT(计算!Y18, "#.00")</f>
        <v>1</v>
      </c>
      <c r="Z20" s="65" t="b">
        <f>TEXT(导出!Z18,"#.00")=TEXT(计算!Z18, "#.00")</f>
        <v>1</v>
      </c>
      <c r="AA20" s="65" t="b">
        <f>TEXT(导出!AA18,"#.00")=TEXT(计算!AA18*100, "#.00")</f>
        <v>1</v>
      </c>
      <c r="AB20" s="65" t="b">
        <f>TEXT(导出!AB18,"#.00")=TEXT(计算!AB18, "#.00")</f>
        <v>1</v>
      </c>
      <c r="AC20" s="65" t="b">
        <f>TEXT(导出!AC18,"#.00")=TEXT(计算!AC18, "#.00")</f>
        <v>1</v>
      </c>
      <c r="AD20" s="65" t="b">
        <f>TEXT(导出!AD18,"#.00")=TEXT(计算!AD18, "#.00")</f>
        <v>1</v>
      </c>
      <c r="AE20" s="65" t="b">
        <f>ABS(导出!AE18-计算!AE18)&lt;10</f>
        <v>1</v>
      </c>
      <c r="AF20" s="65" t="b">
        <f>TEXT(ABS(导出!AF18),"#.00")=TEXT(ABS(计算!AF18), "#.00")</f>
        <v>1</v>
      </c>
      <c r="AG20" s="65" t="b">
        <f>TEXT(导出!AG18,"#.00")=TEXT(计算!AG18, "#.00")</f>
        <v>1</v>
      </c>
      <c r="AH20" s="65" t="b">
        <f>TEXT(导出!AH18,"#.00")=TEXT(计算!AH18, "#.00")</f>
        <v>1</v>
      </c>
      <c r="AI20">
        <v>0</v>
      </c>
      <c r="AJ20" s="3">
        <v>41912.6862384259</v>
      </c>
      <c r="AK20" s="2" t="s">
        <v>2275</v>
      </c>
    </row>
    <row r="21" spans="1:37" x14ac:dyDescent="0.15">
      <c r="A21" s="2" t="s">
        <v>2274</v>
      </c>
      <c r="B21">
        <v>385</v>
      </c>
      <c r="C21" s="3">
        <v>40909</v>
      </c>
      <c r="D21" s="2" t="s">
        <v>37</v>
      </c>
      <c r="E21" s="2" t="s">
        <v>2273</v>
      </c>
      <c r="F21" s="2" t="s">
        <v>38</v>
      </c>
      <c r="G21" s="2" t="s">
        <v>74</v>
      </c>
      <c r="H21" s="2" t="s">
        <v>75</v>
      </c>
      <c r="I21" s="65" t="b">
        <f>导出!I19=计算!I19</f>
        <v>1</v>
      </c>
      <c r="J21" s="65" t="b">
        <f>导出!J19=计算!J19</f>
        <v>1</v>
      </c>
      <c r="K21" s="65" t="b">
        <f>导出!K19=计算!K19</f>
        <v>1</v>
      </c>
      <c r="L21" s="65" t="b">
        <f>导出!L19=计算!L19</f>
        <v>1</v>
      </c>
      <c r="M21" s="65" t="b">
        <f>导出!M19=计算!M19</f>
        <v>1</v>
      </c>
      <c r="N21" s="65" t="b">
        <f>TEXT(导出!N19,"#.00")=TEXT(计算!N19, "#.00")</f>
        <v>1</v>
      </c>
      <c r="O21" s="65" t="b">
        <f>TEXT(导出!O19,"#.00")=TEXT(计算!O19, "#.00")</f>
        <v>1</v>
      </c>
      <c r="P21" s="65" t="b">
        <f>TEXT(导出!P19,"#.00")=TEXT(计算!P19, "#.00")</f>
        <v>1</v>
      </c>
      <c r="Q21" s="65" t="b">
        <f>TEXT(导出!Q19,"#.00")=TEXT(计算!Q19, "#.00")</f>
        <v>1</v>
      </c>
      <c r="R21" s="65" t="b">
        <f>TEXT(导出!R19,"#.00")=TEXT(计算!R19, "#.00")</f>
        <v>1</v>
      </c>
      <c r="S21" s="65" t="b">
        <f>TEXT(导出!S19,"#.00")=TEXT(计算!S19, "#.00")</f>
        <v>1</v>
      </c>
      <c r="T21" s="65" t="b">
        <f>TEXT(导出!T19,"#.00")=TEXT(计算!T19, "#.00")</f>
        <v>1</v>
      </c>
      <c r="U21" s="65" t="b">
        <f>TEXT(导出!U19,"#.00")=TEXT(计算!U19, "#.00")</f>
        <v>1</v>
      </c>
      <c r="V21" s="65" t="b">
        <f>TEXT(导出!V19,"#.00")=TEXT(计算!V19*100, "#.00")</f>
        <v>1</v>
      </c>
      <c r="W21" s="65" t="b">
        <f>TEXT(导出!W19,"#.00")=TEXT(计算!W19, "#.00")</f>
        <v>1</v>
      </c>
      <c r="X21" s="65" t="b">
        <f>TEXT(导出!X19,"#.00")=TEXT(计算!X19, "#.00")</f>
        <v>1</v>
      </c>
      <c r="Y21" s="65" t="b">
        <f>TEXT(导出!Y19,"#.00")=TEXT(计算!Y19, "#.00")</f>
        <v>0</v>
      </c>
      <c r="Z21" s="65" t="b">
        <f>TEXT(导出!Z19,"#.00")=TEXT(计算!Z19, "#.00")</f>
        <v>1</v>
      </c>
      <c r="AA21" s="65" t="b">
        <f>TEXT(导出!AA19,"#.00")=TEXT(计算!AA19*100, "#.00")</f>
        <v>1</v>
      </c>
      <c r="AB21" s="65" t="b">
        <f>TEXT(导出!AB19,"#.00")=TEXT(计算!AB19, "#.00")</f>
        <v>1</v>
      </c>
      <c r="AC21" s="65" t="b">
        <f>TEXT(导出!AC19,"#.00")=TEXT(计算!AC19, "#.00")</f>
        <v>1</v>
      </c>
      <c r="AD21" s="65" t="b">
        <f>TEXT(导出!AD19,"#.00")=TEXT(计算!AD19, "#.00")</f>
        <v>1</v>
      </c>
      <c r="AE21" s="65" t="b">
        <f>ABS(导出!AE19-计算!AE19)&lt;10</f>
        <v>1</v>
      </c>
      <c r="AF21" s="65" t="b">
        <f>TEXT(ABS(导出!AF19),"#.00")=TEXT(ABS(计算!AF19), "#.00")</f>
        <v>1</v>
      </c>
      <c r="AG21" s="65" t="b">
        <f>TEXT(导出!AG19,"#.00")=TEXT(计算!AG19, "#.00")</f>
        <v>1</v>
      </c>
      <c r="AH21" s="65" t="b">
        <f>TEXT(导出!AH19,"#.00")=TEXT(计算!AH19, "#.00")</f>
        <v>1</v>
      </c>
      <c r="AI21">
        <v>0</v>
      </c>
      <c r="AJ21" s="3">
        <v>41912.686249999999</v>
      </c>
      <c r="AK21" s="2" t="s">
        <v>2272</v>
      </c>
    </row>
    <row r="22" spans="1:37" x14ac:dyDescent="0.15">
      <c r="A22" s="2" t="s">
        <v>2271</v>
      </c>
      <c r="B22">
        <v>359</v>
      </c>
      <c r="C22" s="3">
        <v>40909</v>
      </c>
      <c r="D22" s="2" t="s">
        <v>37</v>
      </c>
      <c r="E22" s="2" t="s">
        <v>2270</v>
      </c>
      <c r="F22" s="2" t="s">
        <v>38</v>
      </c>
      <c r="G22" s="2" t="s">
        <v>72</v>
      </c>
      <c r="H22" s="2" t="s">
        <v>73</v>
      </c>
      <c r="I22" s="65" t="b">
        <f>导出!I20=计算!I20</f>
        <v>1</v>
      </c>
      <c r="J22" s="65" t="b">
        <f>导出!J20=计算!J20</f>
        <v>1</v>
      </c>
      <c r="K22" s="65" t="b">
        <f>导出!K20=计算!K20</f>
        <v>1</v>
      </c>
      <c r="L22" s="65" t="b">
        <f>导出!L20=计算!L20</f>
        <v>1</v>
      </c>
      <c r="M22" s="65" t="b">
        <f>导出!M20=计算!M20</f>
        <v>1</v>
      </c>
      <c r="N22" s="65" t="b">
        <f>TEXT(导出!N20,"#.00")=TEXT(计算!N20, "#.00")</f>
        <v>1</v>
      </c>
      <c r="O22" s="65" t="b">
        <f>TEXT(导出!O20,"#.00")=TEXT(计算!O20, "#.00")</f>
        <v>1</v>
      </c>
      <c r="P22" s="65" t="b">
        <f>TEXT(导出!P20,"#.00")=TEXT(计算!P20, "#.00")</f>
        <v>1</v>
      </c>
      <c r="Q22" s="65" t="b">
        <f>TEXT(导出!Q20,"#.00")=TEXT(计算!Q20, "#.00")</f>
        <v>1</v>
      </c>
      <c r="R22" s="65" t="b">
        <f>TEXT(导出!R20,"#.00")=TEXT(计算!R20, "#.00")</f>
        <v>1</v>
      </c>
      <c r="S22" s="65" t="b">
        <f>TEXT(导出!S20,"#.00")=TEXT(计算!S20, "#.00")</f>
        <v>1</v>
      </c>
      <c r="T22" s="65" t="b">
        <f>TEXT(导出!T20,"#.00")=TEXT(计算!T20, "#.00")</f>
        <v>1</v>
      </c>
      <c r="U22" s="65" t="b">
        <f>TEXT(导出!U20,"#.00")=TEXT(计算!U20, "#.00")</f>
        <v>1</v>
      </c>
      <c r="V22" s="65" t="b">
        <f>TEXT(导出!V20,"#.00")=TEXT(计算!V20*100, "#.00")</f>
        <v>1</v>
      </c>
      <c r="W22" s="65" t="b">
        <f>TEXT(导出!W20,"#.00")=TEXT(计算!W20, "#.00")</f>
        <v>1</v>
      </c>
      <c r="X22" s="65" t="b">
        <f>TEXT(导出!X20,"#.00")=TEXT(计算!X20, "#.00")</f>
        <v>1</v>
      </c>
      <c r="Y22" s="65" t="b">
        <f>TEXT(导出!Y20,"#.00")=TEXT(计算!Y20, "#.00")</f>
        <v>1</v>
      </c>
      <c r="Z22" s="65" t="b">
        <f>TEXT(导出!Z20,"#.00")=TEXT(计算!Z20, "#.00")</f>
        <v>1</v>
      </c>
      <c r="AA22" s="65" t="b">
        <f>TEXT(导出!AA20,"#.00")=TEXT(计算!AA20*100, "#.00")</f>
        <v>1</v>
      </c>
      <c r="AB22" s="65" t="b">
        <f>TEXT(导出!AB20,"#.00")=TEXT(计算!AB20, "#.00")</f>
        <v>1</v>
      </c>
      <c r="AC22" s="65" t="b">
        <f>TEXT(导出!AC20,"#.00")=TEXT(计算!AC20, "#.00")</f>
        <v>1</v>
      </c>
      <c r="AD22" s="65" t="b">
        <f>TEXT(导出!AD20,"#.00")=TEXT(计算!AD20, "#.00")</f>
        <v>1</v>
      </c>
      <c r="AE22" s="65" t="b">
        <f>ABS(导出!AE20-计算!AE20)&lt;10</f>
        <v>1</v>
      </c>
      <c r="AF22" s="65" t="b">
        <f>TEXT(ABS(导出!AF20),"#.00")=TEXT(ABS(计算!AF20), "#.00")</f>
        <v>1</v>
      </c>
      <c r="AG22" s="65" t="b">
        <f>TEXT(导出!AG20,"#.00")=TEXT(计算!AG20, "#.00")</f>
        <v>1</v>
      </c>
      <c r="AH22" s="65" t="b">
        <f>TEXT(导出!AH20,"#.00")=TEXT(计算!AH20, "#.00")</f>
        <v>1</v>
      </c>
      <c r="AI22">
        <v>0</v>
      </c>
      <c r="AJ22" s="3">
        <v>41912.686249999999</v>
      </c>
      <c r="AK22" s="2" t="s">
        <v>2269</v>
      </c>
    </row>
    <row r="23" spans="1:37" x14ac:dyDescent="0.15">
      <c r="A23" s="2" t="s">
        <v>2268</v>
      </c>
      <c r="B23">
        <v>395</v>
      </c>
      <c r="C23" s="3">
        <v>40940</v>
      </c>
      <c r="D23" s="2" t="s">
        <v>37</v>
      </c>
      <c r="E23" s="2" t="s">
        <v>2267</v>
      </c>
      <c r="F23" s="2" t="s">
        <v>38</v>
      </c>
      <c r="G23" s="2" t="s">
        <v>78</v>
      </c>
      <c r="H23" s="2" t="s">
        <v>79</v>
      </c>
      <c r="I23" s="65" t="b">
        <f>导出!I21=计算!I21</f>
        <v>1</v>
      </c>
      <c r="J23" s="65" t="b">
        <f>导出!J21=计算!J21</f>
        <v>1</v>
      </c>
      <c r="K23" s="65" t="b">
        <f>导出!K21=计算!K21</f>
        <v>1</v>
      </c>
      <c r="L23" s="65" t="b">
        <f>导出!L21=计算!L21</f>
        <v>1</v>
      </c>
      <c r="M23" s="65" t="b">
        <f>导出!M21=计算!M21</f>
        <v>1</v>
      </c>
      <c r="N23" s="65" t="b">
        <f>TEXT(导出!N21,"#.00")=TEXT(计算!N21, "#.00")</f>
        <v>1</v>
      </c>
      <c r="O23" s="65" t="b">
        <f>TEXT(导出!O21,"#.00")=TEXT(计算!O21, "#.00")</f>
        <v>1</v>
      </c>
      <c r="P23" s="65" t="b">
        <f>TEXT(导出!P21,"#.00")=TEXT(计算!P21, "#.00")</f>
        <v>1</v>
      </c>
      <c r="Q23" s="65" t="b">
        <f>TEXT(导出!Q21,"#.00")=TEXT(计算!Q21, "#.00")</f>
        <v>1</v>
      </c>
      <c r="R23" s="65" t="b">
        <f>TEXT(导出!R21,"#.00")=TEXT(计算!R21, "#.00")</f>
        <v>1</v>
      </c>
      <c r="S23" s="65" t="b">
        <f>TEXT(导出!S21,"#.00")=TEXT(计算!S21, "#.00")</f>
        <v>1</v>
      </c>
      <c r="T23" s="65" t="b">
        <f>TEXT(导出!T21,"#.00")=TEXT(计算!T21, "#.00")</f>
        <v>1</v>
      </c>
      <c r="U23" s="65" t="b">
        <f>TEXT(导出!U21,"#.00")=TEXT(计算!U21, "#.00")</f>
        <v>1</v>
      </c>
      <c r="V23" s="65" t="b">
        <f>TEXT(导出!V21,"#.00")=TEXT(计算!V21*100, "#.00")</f>
        <v>1</v>
      </c>
      <c r="W23" s="65" t="b">
        <f>TEXT(导出!W21,"#.00")=TEXT(计算!W21, "#.00")</f>
        <v>1</v>
      </c>
      <c r="X23" s="65" t="b">
        <f>TEXT(导出!X21,"#.00")=TEXT(计算!X21, "#.00")</f>
        <v>1</v>
      </c>
      <c r="Y23" s="65" t="b">
        <f>TEXT(导出!Y21,"#.00")=TEXT(计算!Y21, "#.00")</f>
        <v>0</v>
      </c>
      <c r="Z23" s="65" t="b">
        <f>TEXT(导出!Z21,"#.00")=TEXT(计算!Z21, "#.00")</f>
        <v>1</v>
      </c>
      <c r="AA23" s="65" t="b">
        <f>TEXT(导出!AA21,"#.00")=TEXT(计算!AA21*100, "#.00")</f>
        <v>1</v>
      </c>
      <c r="AB23" s="65" t="b">
        <f>TEXT(导出!AB21,"#.00")=TEXT(计算!AB21, "#.00")</f>
        <v>1</v>
      </c>
      <c r="AC23" s="65" t="b">
        <f>TEXT(导出!AC21,"#.00")=TEXT(计算!AC21, "#.00")</f>
        <v>1</v>
      </c>
      <c r="AD23" s="65" t="b">
        <f>TEXT(导出!AD21,"#.00")=TEXT(计算!AD21, "#.00")</f>
        <v>1</v>
      </c>
      <c r="AE23" s="65" t="b">
        <f>ABS(导出!AE21-计算!AE21)&lt;10</f>
        <v>1</v>
      </c>
      <c r="AF23" s="65" t="b">
        <f>TEXT(ABS(导出!AF21),"#.00")=TEXT(ABS(计算!AF21), "#.00")</f>
        <v>1</v>
      </c>
      <c r="AG23" s="65" t="b">
        <f>TEXT(导出!AG21,"#.00")=TEXT(计算!AG21, "#.00")</f>
        <v>1</v>
      </c>
      <c r="AH23" s="65" t="b">
        <f>TEXT(导出!AH21,"#.00")=TEXT(计算!AH21, "#.00")</f>
        <v>1</v>
      </c>
      <c r="AI23">
        <v>0</v>
      </c>
      <c r="AJ23" s="3">
        <v>41912.686249999999</v>
      </c>
      <c r="AK23" s="2" t="s">
        <v>2266</v>
      </c>
    </row>
    <row r="24" spans="1:37" x14ac:dyDescent="0.15">
      <c r="A24" s="2" t="s">
        <v>2265</v>
      </c>
      <c r="B24">
        <v>419</v>
      </c>
      <c r="C24" s="3">
        <v>40940</v>
      </c>
      <c r="D24" s="2" t="s">
        <v>37</v>
      </c>
      <c r="E24" s="2" t="s">
        <v>2264</v>
      </c>
      <c r="F24" s="2" t="s">
        <v>38</v>
      </c>
      <c r="G24" s="2" t="s">
        <v>81</v>
      </c>
      <c r="H24" s="2" t="s">
        <v>82</v>
      </c>
      <c r="I24" s="65" t="b">
        <f>导出!I22=计算!I22</f>
        <v>1</v>
      </c>
      <c r="J24" s="65" t="b">
        <f>导出!J22=计算!J22</f>
        <v>1</v>
      </c>
      <c r="K24" s="65" t="b">
        <f>导出!K22=计算!K22</f>
        <v>1</v>
      </c>
      <c r="L24" s="65" t="b">
        <f>导出!L22=计算!L22</f>
        <v>1</v>
      </c>
      <c r="M24" s="65" t="b">
        <f>导出!M22=计算!M22</f>
        <v>1</v>
      </c>
      <c r="N24" s="65" t="b">
        <f>TEXT(导出!N22,"#.00")=TEXT(计算!N22, "#.00")</f>
        <v>1</v>
      </c>
      <c r="O24" s="65" t="b">
        <f>TEXT(导出!O22,"#.00")=TEXT(计算!O22, "#.00")</f>
        <v>1</v>
      </c>
      <c r="P24" s="65" t="b">
        <f>TEXT(导出!P22,"#.00")=TEXT(计算!P22, "#.00")</f>
        <v>1</v>
      </c>
      <c r="Q24" s="65" t="b">
        <f>TEXT(导出!Q22,"#.00")=TEXT(计算!Q22, "#.00")</f>
        <v>1</v>
      </c>
      <c r="R24" s="65" t="b">
        <f>TEXT(导出!R22,"#.00")=TEXT(计算!R22, "#.00")</f>
        <v>1</v>
      </c>
      <c r="S24" s="65" t="b">
        <f>TEXT(导出!S22,"#.00")=TEXT(计算!S22, "#.00")</f>
        <v>1</v>
      </c>
      <c r="T24" s="65" t="b">
        <f>TEXT(导出!T22,"#.00")=TEXT(计算!T22, "#.00")</f>
        <v>1</v>
      </c>
      <c r="U24" s="65" t="b">
        <f>TEXT(导出!U22,"#.00")=TEXT(计算!U22, "#.00")</f>
        <v>1</v>
      </c>
      <c r="V24" s="65" t="b">
        <f>TEXT(导出!V22,"#.00")=TEXT(计算!V22*100, "#.00")</f>
        <v>1</v>
      </c>
      <c r="W24" s="65" t="b">
        <f>TEXT(导出!W22,"#.00")=TEXT(计算!W22, "#.00")</f>
        <v>1</v>
      </c>
      <c r="X24" s="65" t="b">
        <f>TEXT(导出!X22,"#.00")=TEXT(计算!X22, "#.00")</f>
        <v>1</v>
      </c>
      <c r="Y24" s="65" t="b">
        <f>TEXT(导出!Y22,"#.00")=TEXT(计算!Y22, "#.00")</f>
        <v>0</v>
      </c>
      <c r="Z24" s="65" t="b">
        <f>TEXT(导出!Z22,"#.00")=TEXT(计算!Z22, "#.00")</f>
        <v>1</v>
      </c>
      <c r="AA24" s="65" t="b">
        <f>TEXT(导出!AA22,"#.00")=TEXT(计算!AA22*100, "#.00")</f>
        <v>1</v>
      </c>
      <c r="AB24" s="65" t="b">
        <f>TEXT(导出!AB22,"#.00")=TEXT(计算!AB22, "#.00")</f>
        <v>1</v>
      </c>
      <c r="AC24" s="65" t="b">
        <f>TEXT(导出!AC22,"#.00")=TEXT(计算!AC22, "#.00")</f>
        <v>1</v>
      </c>
      <c r="AD24" s="65" t="b">
        <f>TEXT(导出!AD22,"#.00")=TEXT(计算!AD22, "#.00")</f>
        <v>1</v>
      </c>
      <c r="AE24" s="65" t="b">
        <f>ABS(导出!AE22-计算!AE22)&lt;10</f>
        <v>1</v>
      </c>
      <c r="AF24" s="65" t="b">
        <f>TEXT(ABS(导出!AF22),"#.00")=TEXT(ABS(计算!AF22), "#.00")</f>
        <v>1</v>
      </c>
      <c r="AG24" s="65" t="b">
        <f>TEXT(导出!AG22,"#.00")=TEXT(计算!AG22, "#.00")</f>
        <v>1</v>
      </c>
      <c r="AH24" s="65" t="b">
        <f>TEXT(导出!AH22,"#.00")=TEXT(计算!AH22, "#.00")</f>
        <v>1</v>
      </c>
      <c r="AI24">
        <v>0</v>
      </c>
      <c r="AJ24" s="3">
        <v>41912.686249999999</v>
      </c>
      <c r="AK24" s="2" t="s">
        <v>2263</v>
      </c>
    </row>
    <row r="25" spans="1:37" x14ac:dyDescent="0.15">
      <c r="A25" s="2" t="s">
        <v>2262</v>
      </c>
      <c r="B25">
        <v>404</v>
      </c>
      <c r="C25" s="3">
        <v>40940</v>
      </c>
      <c r="D25" s="2" t="s">
        <v>37</v>
      </c>
      <c r="E25" s="2" t="s">
        <v>2261</v>
      </c>
      <c r="F25" s="2" t="s">
        <v>38</v>
      </c>
      <c r="G25" s="2" t="s">
        <v>85</v>
      </c>
      <c r="H25" s="2" t="s">
        <v>86</v>
      </c>
      <c r="I25" s="65" t="b">
        <f>导出!I23=计算!I23</f>
        <v>1</v>
      </c>
      <c r="J25" s="65" t="b">
        <f>导出!J23=计算!J23</f>
        <v>1</v>
      </c>
      <c r="K25" s="65" t="b">
        <f>导出!K23=计算!K23</f>
        <v>1</v>
      </c>
      <c r="L25" s="65" t="b">
        <f>导出!L23=计算!L23</f>
        <v>1</v>
      </c>
      <c r="M25" s="65" t="b">
        <f>导出!M23=计算!M23</f>
        <v>1</v>
      </c>
      <c r="N25" s="65" t="b">
        <f>TEXT(导出!N23,"#.00")=TEXT(计算!N23, "#.00")</f>
        <v>1</v>
      </c>
      <c r="O25" s="65" t="b">
        <f>TEXT(导出!O23,"#.00")=TEXT(计算!O23, "#.00")</f>
        <v>1</v>
      </c>
      <c r="P25" s="65" t="b">
        <f>TEXT(导出!P23,"#.00")=TEXT(计算!P23, "#.00")</f>
        <v>1</v>
      </c>
      <c r="Q25" s="65" t="b">
        <f>TEXT(导出!Q23,"#.00")=TEXT(计算!Q23, "#.00")</f>
        <v>0</v>
      </c>
      <c r="R25" s="65" t="b">
        <f>TEXT(导出!R23,"#.00")=TEXT(计算!R23, "#.00")</f>
        <v>1</v>
      </c>
      <c r="S25" s="65" t="b">
        <f>TEXT(导出!S23,"#.00")=TEXT(计算!S23, "#.00")</f>
        <v>1</v>
      </c>
      <c r="T25" s="65" t="b">
        <f>TEXT(导出!T23,"#.00")=TEXT(计算!T23, "#.00")</f>
        <v>1</v>
      </c>
      <c r="U25" s="65" t="b">
        <f>TEXT(导出!U23,"#.00")=TEXT(计算!U23, "#.00")</f>
        <v>1</v>
      </c>
      <c r="V25" s="65" t="b">
        <f>TEXT(导出!V23,"#.00")=TEXT(计算!V23*100, "#.00")</f>
        <v>1</v>
      </c>
      <c r="W25" s="65" t="b">
        <f>TEXT(导出!W23,"#.00")=TEXT(计算!W23, "#.00")</f>
        <v>1</v>
      </c>
      <c r="X25" s="65" t="b">
        <f>TEXT(导出!X23,"#.00")=TEXT(计算!X23, "#.00")</f>
        <v>1</v>
      </c>
      <c r="Y25" s="65" t="b">
        <f>TEXT(导出!Y23,"#.00")=TEXT(计算!Y23, "#.00")</f>
        <v>1</v>
      </c>
      <c r="Z25" s="65" t="b">
        <f>TEXT(导出!Z23,"#.00")=TEXT(计算!Z23, "#.00")</f>
        <v>1</v>
      </c>
      <c r="AA25" s="65" t="b">
        <f>TEXT(导出!AA23,"#.00")=TEXT(计算!AA23*100, "#.00")</f>
        <v>1</v>
      </c>
      <c r="AB25" s="65" t="b">
        <f>TEXT(导出!AB23,"#.00")=TEXT(计算!AB23, "#.00")</f>
        <v>1</v>
      </c>
      <c r="AC25" s="65" t="b">
        <f>TEXT(导出!AC23,"#.00")=TEXT(计算!AC23, "#.00")</f>
        <v>1</v>
      </c>
      <c r="AD25" s="65" t="b">
        <f>TEXT(导出!AD23,"#.00")=TEXT(计算!AD23, "#.00")</f>
        <v>1</v>
      </c>
      <c r="AE25" s="65" t="b">
        <f>ABS(导出!AE23-计算!AE23)&lt;10</f>
        <v>1</v>
      </c>
      <c r="AF25" s="65" t="b">
        <f>TEXT(ABS(导出!AF23),"#.00")=TEXT(ABS(计算!AF23), "#.00")</f>
        <v>1</v>
      </c>
      <c r="AG25" s="65" t="b">
        <f>TEXT(导出!AG23,"#.00")=TEXT(计算!AG23, "#.00")</f>
        <v>1</v>
      </c>
      <c r="AH25" s="65" t="b">
        <f>TEXT(导出!AH23,"#.00")=TEXT(计算!AH23, "#.00")</f>
        <v>1</v>
      </c>
      <c r="AI25">
        <v>0</v>
      </c>
      <c r="AJ25" s="3">
        <v>41912.686249999999</v>
      </c>
      <c r="AK25" s="2" t="s">
        <v>2260</v>
      </c>
    </row>
    <row r="26" spans="1:37" x14ac:dyDescent="0.15">
      <c r="A26" s="2" t="s">
        <v>2259</v>
      </c>
      <c r="B26">
        <v>411</v>
      </c>
      <c r="C26" s="3">
        <v>40940</v>
      </c>
      <c r="D26" s="2" t="s">
        <v>37</v>
      </c>
      <c r="E26" s="2" t="s">
        <v>2258</v>
      </c>
      <c r="F26" s="2" t="s">
        <v>38</v>
      </c>
      <c r="G26" s="2" t="s">
        <v>87</v>
      </c>
      <c r="H26" s="2" t="s">
        <v>88</v>
      </c>
      <c r="I26" s="65" t="b">
        <f>导出!I24=计算!I24</f>
        <v>1</v>
      </c>
      <c r="J26" s="65" t="b">
        <f>导出!J24=计算!J24</f>
        <v>1</v>
      </c>
      <c r="K26" s="65" t="b">
        <f>导出!K24=计算!K24</f>
        <v>1</v>
      </c>
      <c r="L26" s="65" t="b">
        <f>导出!L24=计算!L24</f>
        <v>1</v>
      </c>
      <c r="M26" s="65" t="b">
        <f>导出!M24=计算!M24</f>
        <v>1</v>
      </c>
      <c r="N26" s="65" t="b">
        <f>TEXT(导出!N24,"#.00")=TEXT(计算!N24, "#.00")</f>
        <v>1</v>
      </c>
      <c r="O26" s="65" t="b">
        <f>TEXT(导出!O24,"#.00")=TEXT(计算!O24, "#.00")</f>
        <v>1</v>
      </c>
      <c r="P26" s="65" t="b">
        <f>TEXT(导出!P24,"#.00")=TEXT(计算!P24, "#.00")</f>
        <v>1</v>
      </c>
      <c r="Q26" s="65" t="b">
        <f>TEXT(导出!Q24,"#.00")=TEXT(计算!Q24, "#.00")</f>
        <v>1</v>
      </c>
      <c r="R26" s="65" t="b">
        <f>TEXT(导出!R24,"#.00")=TEXT(计算!R24, "#.00")</f>
        <v>1</v>
      </c>
      <c r="S26" s="65" t="b">
        <f>TEXT(导出!S24,"#.00")=TEXT(计算!S24, "#.00")</f>
        <v>1</v>
      </c>
      <c r="T26" s="65" t="b">
        <f>TEXT(导出!T24,"#.00")=TEXT(计算!T24, "#.00")</f>
        <v>1</v>
      </c>
      <c r="U26" s="65" t="b">
        <f>TEXT(导出!U24,"#.00")=TEXT(计算!U24, "#.00")</f>
        <v>1</v>
      </c>
      <c r="V26" s="65" t="b">
        <f>TEXT(导出!V24,"#.00")=TEXT(计算!V24*100, "#.00")</f>
        <v>1</v>
      </c>
      <c r="W26" s="65" t="b">
        <f>TEXT(导出!W24,"#.00")=TEXT(计算!W24, "#.00")</f>
        <v>1</v>
      </c>
      <c r="X26" s="65" t="b">
        <f>TEXT(导出!X24,"#.00")=TEXT(计算!X24, "#.00")</f>
        <v>1</v>
      </c>
      <c r="Y26" s="65" t="b">
        <f>TEXT(导出!Y24,"#.00")=TEXT(计算!Y24, "#.00")</f>
        <v>1</v>
      </c>
      <c r="Z26" s="65" t="b">
        <f>TEXT(导出!Z24,"#.00")=TEXT(计算!Z24, "#.00")</f>
        <v>1</v>
      </c>
      <c r="AA26" s="65" t="b">
        <f>TEXT(导出!AA24,"#.00")=TEXT(计算!AA24*100, "#.00")</f>
        <v>1</v>
      </c>
      <c r="AB26" s="65" t="b">
        <f>TEXT(导出!AB24,"#.00")=TEXT(计算!AB24, "#.00")</f>
        <v>1</v>
      </c>
      <c r="AC26" s="65" t="b">
        <f>TEXT(导出!AC24,"#.00")=TEXT(计算!AC24, "#.00")</f>
        <v>1</v>
      </c>
      <c r="AD26" s="65" t="b">
        <f>TEXT(导出!AD24,"#.00")=TEXT(计算!AD24, "#.00")</f>
        <v>1</v>
      </c>
      <c r="AE26" s="65" t="b">
        <f>ABS(导出!AE24-计算!AE24)&lt;10</f>
        <v>1</v>
      </c>
      <c r="AF26" s="65" t="b">
        <f>TEXT(ABS(导出!AF24),"#.00")=TEXT(ABS(计算!AF24), "#.00")</f>
        <v>1</v>
      </c>
      <c r="AG26" s="65" t="b">
        <f>TEXT(导出!AG24,"#.00")=TEXT(计算!AG24, "#.00")</f>
        <v>1</v>
      </c>
      <c r="AH26" s="65" t="b">
        <f>TEXT(导出!AH24,"#.00")=TEXT(计算!AH24, "#.00")</f>
        <v>1</v>
      </c>
      <c r="AI26">
        <v>0</v>
      </c>
      <c r="AJ26" s="3">
        <v>41912.686249999999</v>
      </c>
      <c r="AK26" s="2" t="s">
        <v>2257</v>
      </c>
    </row>
    <row r="27" spans="1:37" x14ac:dyDescent="0.15">
      <c r="A27" s="2" t="s">
        <v>2256</v>
      </c>
      <c r="B27">
        <v>38</v>
      </c>
      <c r="C27" s="3">
        <v>40940</v>
      </c>
      <c r="D27" s="2" t="s">
        <v>37</v>
      </c>
      <c r="E27" s="2" t="s">
        <v>2255</v>
      </c>
      <c r="F27" s="2" t="s">
        <v>41</v>
      </c>
      <c r="G27" s="2" t="s">
        <v>83</v>
      </c>
      <c r="H27" s="2" t="s">
        <v>84</v>
      </c>
      <c r="I27" s="65" t="b">
        <f>导出!I25=计算!I25</f>
        <v>1</v>
      </c>
      <c r="J27" s="65" t="b">
        <f>导出!J25=计算!J25</f>
        <v>1</v>
      </c>
      <c r="K27" s="65" t="b">
        <f>导出!K25=计算!K25</f>
        <v>1</v>
      </c>
      <c r="L27" s="65" t="b">
        <f>导出!L25=计算!L25</f>
        <v>1</v>
      </c>
      <c r="M27" s="65" t="b">
        <f>导出!M25=计算!M25</f>
        <v>1</v>
      </c>
      <c r="N27" s="65" t="b">
        <f>TEXT(导出!N25,"#.00")=TEXT(计算!N25, "#.00")</f>
        <v>1</v>
      </c>
      <c r="O27" s="65" t="b">
        <f>TEXT(导出!O25,"#.00")=TEXT(计算!O25, "#.00")</f>
        <v>1</v>
      </c>
      <c r="P27" s="65" t="b">
        <f>TEXT(导出!P25,"#.00")=TEXT(计算!P25, "#.00")</f>
        <v>1</v>
      </c>
      <c r="Q27" s="65" t="b">
        <f>TEXT(导出!Q25,"#.00")=TEXT(计算!Q25, "#.00")</f>
        <v>1</v>
      </c>
      <c r="R27" s="65" t="b">
        <f>TEXT(导出!R25,"#.00")=TEXT(计算!R25, "#.00")</f>
        <v>1</v>
      </c>
      <c r="S27" s="65" t="b">
        <f>TEXT(导出!S25,"#.00")=TEXT(计算!S25, "#.00")</f>
        <v>1</v>
      </c>
      <c r="T27" s="65" t="b">
        <f>TEXT(导出!T25,"#.00")=TEXT(计算!T25, "#.00")</f>
        <v>1</v>
      </c>
      <c r="U27" s="65" t="b">
        <f>TEXT(导出!U25,"#.00")=TEXT(计算!U25, "#.00")</f>
        <v>1</v>
      </c>
      <c r="V27" s="65" t="b">
        <f>TEXT(导出!V25,"#.00")=TEXT(计算!V25*100, "#.00")</f>
        <v>1</v>
      </c>
      <c r="W27" s="65" t="b">
        <f>TEXT(导出!W25,"#.00")=TEXT(计算!W25, "#.00")</f>
        <v>1</v>
      </c>
      <c r="X27" s="65" t="b">
        <f>TEXT(导出!X25,"#.00")=TEXT(计算!X25, "#.00")</f>
        <v>1</v>
      </c>
      <c r="Y27" s="65" t="b">
        <f>TEXT(导出!Y25,"#.00")=TEXT(计算!Y25, "#.00")</f>
        <v>1</v>
      </c>
      <c r="Z27" s="65" t="b">
        <f>TEXT(导出!Z25,"#.00")=TEXT(计算!Z25, "#.00")</f>
        <v>1</v>
      </c>
      <c r="AA27" s="65" t="b">
        <f>TEXT(导出!AA25,"#.00")=TEXT(计算!AA25*100, "#.00")</f>
        <v>1</v>
      </c>
      <c r="AB27" s="65" t="b">
        <f>TEXT(导出!AB25,"#.00")=TEXT(计算!AB25, "#.00")</f>
        <v>1</v>
      </c>
      <c r="AC27" s="65" t="b">
        <f>TEXT(导出!AC25,"#.00")=TEXT(计算!AC25, "#.00")</f>
        <v>1</v>
      </c>
      <c r="AD27" s="65" t="b">
        <f>TEXT(导出!AD25,"#.00")=TEXT(计算!AD25, "#.00")</f>
        <v>1</v>
      </c>
      <c r="AE27" s="65" t="b">
        <f>ABS(导出!AE25-计算!AE25)&lt;10</f>
        <v>1</v>
      </c>
      <c r="AF27" s="65" t="b">
        <f>TEXT(ABS(导出!AF25),"#.00")=TEXT(ABS(计算!AF25), "#.00")</f>
        <v>1</v>
      </c>
      <c r="AG27" s="65" t="b">
        <f>TEXT(导出!AG25,"#.00")=TEXT(计算!AG25, "#.00")</f>
        <v>1</v>
      </c>
      <c r="AH27" s="65" t="b">
        <f>TEXT(导出!AH25,"#.00")=TEXT(计算!AH25, "#.00")</f>
        <v>1</v>
      </c>
      <c r="AI27">
        <v>0</v>
      </c>
      <c r="AJ27" s="3">
        <v>41912.6862384259</v>
      </c>
      <c r="AK27" s="2" t="s">
        <v>2254</v>
      </c>
    </row>
    <row r="28" spans="1:37" x14ac:dyDescent="0.15">
      <c r="A28" s="2" t="s">
        <v>2253</v>
      </c>
      <c r="B28">
        <v>43</v>
      </c>
      <c r="C28" s="3">
        <v>40969</v>
      </c>
      <c r="D28" s="2" t="s">
        <v>37</v>
      </c>
      <c r="E28" s="2" t="s">
        <v>2252</v>
      </c>
      <c r="F28" s="2" t="s">
        <v>41</v>
      </c>
      <c r="G28" s="2" t="s">
        <v>91</v>
      </c>
      <c r="H28" s="2" t="s">
        <v>92</v>
      </c>
      <c r="I28" s="65" t="b">
        <f>导出!I26=计算!I26</f>
        <v>1</v>
      </c>
      <c r="J28" s="65" t="b">
        <f>导出!J26=计算!J26</f>
        <v>1</v>
      </c>
      <c r="K28" s="65" t="b">
        <f>导出!K26=计算!K26</f>
        <v>1</v>
      </c>
      <c r="L28" s="65" t="b">
        <f>导出!L26=计算!L26</f>
        <v>1</v>
      </c>
      <c r="M28" s="65" t="b">
        <f>导出!M26=计算!M26</f>
        <v>1</v>
      </c>
      <c r="N28" s="65" t="b">
        <f>TEXT(导出!N26,"#.00")=TEXT(计算!N26, "#.00")</f>
        <v>1</v>
      </c>
      <c r="O28" s="65" t="b">
        <f>TEXT(导出!O26,"#.00")=TEXT(计算!O26, "#.00")</f>
        <v>1</v>
      </c>
      <c r="P28" s="65" t="b">
        <f>TEXT(导出!P26,"#.00")=TEXT(计算!P26, "#.00")</f>
        <v>1</v>
      </c>
      <c r="Q28" s="65" t="b">
        <f>TEXT(导出!Q26,"#.00")=TEXT(计算!Q26, "#.00")</f>
        <v>1</v>
      </c>
      <c r="R28" s="65" t="b">
        <f>TEXT(导出!R26,"#.00")=TEXT(计算!R26, "#.00")</f>
        <v>1</v>
      </c>
      <c r="S28" s="65" t="b">
        <f>TEXT(导出!S26,"#.00")=TEXT(计算!S26, "#.00")</f>
        <v>1</v>
      </c>
      <c r="T28" s="65" t="b">
        <f>TEXT(导出!T26,"#.00")=TEXT(计算!T26, "#.00")</f>
        <v>1</v>
      </c>
      <c r="U28" s="65" t="b">
        <f>TEXT(导出!U26,"#.00")=TEXT(计算!U26, "#.00")</f>
        <v>1</v>
      </c>
      <c r="V28" s="65" t="b">
        <f>TEXT(导出!V26,"#.00")=TEXT(计算!V26*100, "#.00")</f>
        <v>1</v>
      </c>
      <c r="W28" s="65" t="b">
        <f>TEXT(导出!W26,"#.00")=TEXT(计算!W26, "#.00")</f>
        <v>1</v>
      </c>
      <c r="X28" s="65" t="b">
        <f>TEXT(导出!X26,"#.00")=TEXT(计算!X26, "#.00")</f>
        <v>1</v>
      </c>
      <c r="Y28" s="65" t="b">
        <f>TEXT(导出!Y26,"#.00")=TEXT(计算!Y26, "#.00")</f>
        <v>1</v>
      </c>
      <c r="Z28" s="65" t="b">
        <f>TEXT(导出!Z26,"#.00")=TEXT(计算!Z26, "#.00")</f>
        <v>1</v>
      </c>
      <c r="AA28" s="65" t="b">
        <f>TEXT(导出!AA26,"#.00")=TEXT(计算!AA26*100, "#.00")</f>
        <v>1</v>
      </c>
      <c r="AB28" s="65" t="b">
        <f>TEXT(导出!AB26,"#.00")=TEXT(计算!AB26, "#.00")</f>
        <v>1</v>
      </c>
      <c r="AC28" s="65" t="b">
        <f>TEXT(导出!AC26,"#.00")=TEXT(计算!AC26, "#.00")</f>
        <v>1</v>
      </c>
      <c r="AD28" s="65" t="b">
        <f>TEXT(导出!AD26,"#.00")=TEXT(计算!AD26, "#.00")</f>
        <v>1</v>
      </c>
      <c r="AE28" s="65" t="b">
        <f>ABS(导出!AE26-计算!AE26)&lt;10</f>
        <v>1</v>
      </c>
      <c r="AF28" s="65" t="b">
        <f>TEXT(ABS(导出!AF26),"#.00")=TEXT(ABS(计算!AF26), "#.00")</f>
        <v>1</v>
      </c>
      <c r="AG28" s="65" t="b">
        <f>TEXT(导出!AG26,"#.00")=TEXT(计算!AG26, "#.00")</f>
        <v>1</v>
      </c>
      <c r="AH28" s="65" t="b">
        <f>TEXT(导出!AH26,"#.00")=TEXT(计算!AH26, "#.00")</f>
        <v>1</v>
      </c>
      <c r="AI28">
        <v>0</v>
      </c>
      <c r="AJ28" s="3">
        <v>41912.6862384259</v>
      </c>
      <c r="AK28" s="2" t="s">
        <v>2251</v>
      </c>
    </row>
    <row r="29" spans="1:37" x14ac:dyDescent="0.15">
      <c r="A29" s="2" t="s">
        <v>2250</v>
      </c>
      <c r="B29">
        <v>428</v>
      </c>
      <c r="C29" s="3">
        <v>40969</v>
      </c>
      <c r="D29" s="2" t="s">
        <v>37</v>
      </c>
      <c r="E29" s="2" t="s">
        <v>2249</v>
      </c>
      <c r="F29" s="2" t="s">
        <v>38</v>
      </c>
      <c r="G29" s="2" t="s">
        <v>89</v>
      </c>
      <c r="H29" s="2" t="s">
        <v>90</v>
      </c>
      <c r="I29" s="65" t="b">
        <f>导出!I27=计算!I27</f>
        <v>1</v>
      </c>
      <c r="J29" s="65" t="b">
        <f>导出!J27=计算!J27</f>
        <v>1</v>
      </c>
      <c r="K29" s="65" t="b">
        <f>导出!K27=计算!K27</f>
        <v>1</v>
      </c>
      <c r="L29" s="65" t="b">
        <f>导出!L27=计算!L27</f>
        <v>1</v>
      </c>
      <c r="M29" s="65" t="b">
        <f>导出!M27=计算!M27</f>
        <v>1</v>
      </c>
      <c r="N29" s="65" t="b">
        <f>TEXT(导出!N27,"#.00")=TEXT(计算!N27, "#.00")</f>
        <v>1</v>
      </c>
      <c r="O29" s="65" t="b">
        <f>TEXT(导出!O27,"#.00")=TEXT(计算!O27, "#.00")</f>
        <v>1</v>
      </c>
      <c r="P29" s="65" t="b">
        <f>TEXT(导出!P27,"#.00")=TEXT(计算!P27, "#.00")</f>
        <v>1</v>
      </c>
      <c r="Q29" s="65" t="b">
        <f>TEXT(导出!Q27,"#.00")=TEXT(计算!Q27, "#.00")</f>
        <v>1</v>
      </c>
      <c r="R29" s="65" t="b">
        <f>TEXT(导出!R27,"#.00")=TEXT(计算!R27, "#.00")</f>
        <v>1</v>
      </c>
      <c r="S29" s="65" t="b">
        <f>TEXT(导出!S27,"#.00")=TEXT(计算!S27, "#.00")</f>
        <v>1</v>
      </c>
      <c r="T29" s="65" t="b">
        <f>TEXT(导出!T27,"#.00")=TEXT(计算!T27, "#.00")</f>
        <v>1</v>
      </c>
      <c r="U29" s="65" t="b">
        <f>TEXT(导出!U27,"#.00")=TEXT(计算!U27, "#.00")</f>
        <v>1</v>
      </c>
      <c r="V29" s="65" t="b">
        <f>TEXT(导出!V27,"#.00")=TEXT(计算!V27*100, "#.00")</f>
        <v>1</v>
      </c>
      <c r="W29" s="65" t="b">
        <f>TEXT(导出!W27,"#.00")=TEXT(计算!W27, "#.00")</f>
        <v>1</v>
      </c>
      <c r="X29" s="65" t="b">
        <f>TEXT(导出!X27,"#.00")=TEXT(计算!X27, "#.00")</f>
        <v>1</v>
      </c>
      <c r="Y29" s="65" t="b">
        <f>TEXT(导出!Y27,"#.00")=TEXT(计算!Y27, "#.00")</f>
        <v>1</v>
      </c>
      <c r="Z29" s="65" t="b">
        <f>TEXT(导出!Z27,"#.00")=TEXT(计算!Z27, "#.00")</f>
        <v>1</v>
      </c>
      <c r="AA29" s="65" t="b">
        <f>TEXT(导出!AA27,"#.00")=TEXT(计算!AA27*100, "#.00")</f>
        <v>1</v>
      </c>
      <c r="AB29" s="65" t="b">
        <f>TEXT(导出!AB27,"#.00")=TEXT(计算!AB27, "#.00")</f>
        <v>1</v>
      </c>
      <c r="AC29" s="65" t="b">
        <f>TEXT(导出!AC27,"#.00")=TEXT(计算!AC27, "#.00")</f>
        <v>1</v>
      </c>
      <c r="AD29" s="65" t="b">
        <f>TEXT(导出!AD27,"#.00")=TEXT(计算!AD27, "#.00")</f>
        <v>1</v>
      </c>
      <c r="AE29" s="65" t="b">
        <f>ABS(导出!AE27-计算!AE27)&lt;10</f>
        <v>1</v>
      </c>
      <c r="AF29" s="65" t="b">
        <f>TEXT(ABS(导出!AF27),"#.00")=TEXT(ABS(计算!AF27), "#.00")</f>
        <v>1</v>
      </c>
      <c r="AG29" s="65" t="b">
        <f>TEXT(导出!AG27,"#.00")=TEXT(计算!AG27, "#.00")</f>
        <v>1</v>
      </c>
      <c r="AH29" s="65" t="b">
        <f>TEXT(导出!AH27,"#.00")=TEXT(计算!AH27, "#.00")</f>
        <v>1</v>
      </c>
      <c r="AI29">
        <v>0</v>
      </c>
      <c r="AJ29" s="3">
        <v>41912.686249999999</v>
      </c>
      <c r="AK29" s="2" t="s">
        <v>2248</v>
      </c>
    </row>
    <row r="30" spans="1:37" x14ac:dyDescent="0.15">
      <c r="A30" s="2" t="s">
        <v>2247</v>
      </c>
      <c r="B30">
        <v>438</v>
      </c>
      <c r="C30" s="3">
        <v>40988</v>
      </c>
      <c r="D30" s="2" t="s">
        <v>37</v>
      </c>
      <c r="E30" s="2" t="s">
        <v>2246</v>
      </c>
      <c r="F30" s="2" t="s">
        <v>38</v>
      </c>
      <c r="G30" s="2" t="s">
        <v>93</v>
      </c>
      <c r="H30" s="2" t="s">
        <v>94</v>
      </c>
      <c r="I30" s="65" t="b">
        <f>导出!I28=计算!I28</f>
        <v>1</v>
      </c>
      <c r="J30" s="65" t="b">
        <f>导出!J28=计算!J28</f>
        <v>1</v>
      </c>
      <c r="K30" s="65" t="b">
        <f>导出!K28=计算!K28</f>
        <v>1</v>
      </c>
      <c r="L30" s="65" t="b">
        <f>导出!L28=计算!L28</f>
        <v>1</v>
      </c>
      <c r="M30" s="65" t="b">
        <f>导出!M28=计算!M28</f>
        <v>1</v>
      </c>
      <c r="N30" s="65" t="b">
        <f>TEXT(导出!N28,"#.00")=TEXT(计算!N28, "#.00")</f>
        <v>1</v>
      </c>
      <c r="O30" s="65" t="b">
        <f>TEXT(导出!O28,"#.00")=TEXT(计算!O28, "#.00")</f>
        <v>1</v>
      </c>
      <c r="P30" s="65" t="b">
        <f>TEXT(导出!P28,"#.00")=TEXT(计算!P28, "#.00")</f>
        <v>1</v>
      </c>
      <c r="Q30" s="65" t="b">
        <f>TEXT(导出!Q28,"#.00")=TEXT(计算!Q28, "#.00")</f>
        <v>1</v>
      </c>
      <c r="R30" s="65" t="b">
        <f>TEXT(导出!R28,"#.00")=TEXT(计算!R28, "#.00")</f>
        <v>1</v>
      </c>
      <c r="S30" s="65" t="b">
        <f>TEXT(导出!S28,"#.00")=TEXT(计算!S28, "#.00")</f>
        <v>1</v>
      </c>
      <c r="T30" s="65" t="b">
        <f>TEXT(导出!T28,"#.00")=TEXT(计算!T28, "#.00")</f>
        <v>1</v>
      </c>
      <c r="U30" s="65" t="b">
        <f>TEXT(导出!U28,"#.00")=TEXT(计算!U28, "#.00")</f>
        <v>1</v>
      </c>
      <c r="V30" s="65" t="b">
        <f>TEXT(导出!V28,"#.00")=TEXT(计算!V28*100, "#.00")</f>
        <v>1</v>
      </c>
      <c r="W30" s="65" t="b">
        <f>TEXT(导出!W28,"#.00")=TEXT(计算!W28, "#.00")</f>
        <v>1</v>
      </c>
      <c r="X30" s="65" t="b">
        <f>TEXT(导出!X28,"#.00")=TEXT(计算!X28, "#.00")</f>
        <v>1</v>
      </c>
      <c r="Y30" s="65" t="b">
        <f>TEXT(导出!Y28,"#.00")=TEXT(计算!Y28, "#.00")</f>
        <v>1</v>
      </c>
      <c r="Z30" s="65" t="b">
        <f>TEXT(导出!Z28,"#.00")=TEXT(计算!Z28, "#.00")</f>
        <v>1</v>
      </c>
      <c r="AA30" s="65" t="b">
        <f>TEXT(导出!AA28,"#.00")=TEXT(计算!AA28*100, "#.00")</f>
        <v>1</v>
      </c>
      <c r="AB30" s="65" t="b">
        <f>TEXT(导出!AB28,"#.00")=TEXT(计算!AB28, "#.00")</f>
        <v>1</v>
      </c>
      <c r="AC30" s="65" t="b">
        <f>TEXT(导出!AC28,"#.00")=TEXT(计算!AC28, "#.00")</f>
        <v>1</v>
      </c>
      <c r="AD30" s="65" t="b">
        <f>TEXT(导出!AD28,"#.00")=TEXT(计算!AD28, "#.00")</f>
        <v>1</v>
      </c>
      <c r="AE30" s="65" t="b">
        <f>ABS(导出!AE28-计算!AE28)&lt;10</f>
        <v>1</v>
      </c>
      <c r="AF30" s="65" t="b">
        <f>TEXT(ABS(导出!AF28),"#.00")=TEXT(ABS(计算!AF28), "#.00")</f>
        <v>1</v>
      </c>
      <c r="AG30" s="65" t="b">
        <f>TEXT(导出!AG28,"#.00")=TEXT(计算!AG28, "#.00")</f>
        <v>1</v>
      </c>
      <c r="AH30" s="65" t="b">
        <f>TEXT(导出!AH28,"#.00")=TEXT(计算!AH28, "#.00")</f>
        <v>1</v>
      </c>
      <c r="AI30">
        <v>0</v>
      </c>
      <c r="AJ30" s="3">
        <v>41912.686249999999</v>
      </c>
      <c r="AK30" s="2" t="s">
        <v>2245</v>
      </c>
    </row>
    <row r="31" spans="1:37" x14ac:dyDescent="0.15">
      <c r="A31" s="2" t="s">
        <v>2244</v>
      </c>
      <c r="B31">
        <v>447</v>
      </c>
      <c r="C31" s="3">
        <v>40988</v>
      </c>
      <c r="D31" s="2" t="s">
        <v>37</v>
      </c>
      <c r="E31" s="2" t="s">
        <v>2243</v>
      </c>
      <c r="F31" s="2" t="s">
        <v>38</v>
      </c>
      <c r="G31" s="2" t="s">
        <v>95</v>
      </c>
      <c r="H31" s="2" t="s">
        <v>96</v>
      </c>
      <c r="I31" s="65" t="b">
        <f>导出!I29=计算!I29</f>
        <v>1</v>
      </c>
      <c r="J31" s="65" t="b">
        <f>导出!J29=计算!J29</f>
        <v>1</v>
      </c>
      <c r="K31" s="65" t="b">
        <f>导出!K29=计算!K29</f>
        <v>1</v>
      </c>
      <c r="L31" s="65" t="b">
        <f>导出!L29=计算!L29</f>
        <v>1</v>
      </c>
      <c r="M31" s="65" t="b">
        <f>导出!M29=计算!M29</f>
        <v>1</v>
      </c>
      <c r="N31" s="65" t="b">
        <f>TEXT(导出!N29,"#.00")=TEXT(计算!N29, "#.00")</f>
        <v>1</v>
      </c>
      <c r="O31" s="65" t="b">
        <f>TEXT(导出!O29,"#.00")=TEXT(计算!O29, "#.00")</f>
        <v>1</v>
      </c>
      <c r="P31" s="65" t="b">
        <f>TEXT(导出!P29,"#.00")=TEXT(计算!P29, "#.00")</f>
        <v>1</v>
      </c>
      <c r="Q31" s="65" t="b">
        <f>TEXT(导出!Q29,"#.00")=TEXT(计算!Q29, "#.00")</f>
        <v>0</v>
      </c>
      <c r="R31" s="65" t="b">
        <f>TEXT(导出!R29,"#.00")=TEXT(计算!R29, "#.00")</f>
        <v>1</v>
      </c>
      <c r="S31" s="65" t="b">
        <f>TEXT(导出!S29,"#.00")=TEXT(计算!S29, "#.00")</f>
        <v>1</v>
      </c>
      <c r="T31" s="65" t="b">
        <f>TEXT(导出!T29,"#.00")=TEXT(计算!T29, "#.00")</f>
        <v>1</v>
      </c>
      <c r="U31" s="65" t="b">
        <f>TEXT(导出!U29,"#.00")=TEXT(计算!U29, "#.00")</f>
        <v>1</v>
      </c>
      <c r="V31" s="65" t="b">
        <f>TEXT(导出!V29,"#.00")=TEXT(计算!V29*100, "#.00")</f>
        <v>1</v>
      </c>
      <c r="W31" s="65" t="b">
        <f>TEXT(导出!W29,"#.00")=TEXT(计算!W29, "#.00")</f>
        <v>1</v>
      </c>
      <c r="X31" s="65" t="b">
        <f>TEXT(导出!X29,"#.00")=TEXT(计算!X29, "#.00")</f>
        <v>1</v>
      </c>
      <c r="Y31" s="65" t="b">
        <f>TEXT(导出!Y29,"#.00")=TEXT(计算!Y29, "#.00")</f>
        <v>1</v>
      </c>
      <c r="Z31" s="65" t="b">
        <f>TEXT(导出!Z29,"#.00")=TEXT(计算!Z29, "#.00")</f>
        <v>1</v>
      </c>
      <c r="AA31" s="65" t="b">
        <f>TEXT(导出!AA29,"#.00")=TEXT(计算!AA29*100, "#.00")</f>
        <v>1</v>
      </c>
      <c r="AB31" s="65" t="b">
        <f>TEXT(导出!AB29,"#.00")=TEXT(计算!AB29, "#.00")</f>
        <v>1</v>
      </c>
      <c r="AC31" s="65" t="b">
        <f>TEXT(导出!AC29,"#.00")=TEXT(计算!AC29, "#.00")</f>
        <v>1</v>
      </c>
      <c r="AD31" s="65" t="b">
        <f>TEXT(导出!AD29,"#.00")=TEXT(计算!AD29, "#.00")</f>
        <v>1</v>
      </c>
      <c r="AE31" s="65" t="b">
        <f>ABS(导出!AE29-计算!AE29)&lt;10</f>
        <v>1</v>
      </c>
      <c r="AF31" s="65" t="b">
        <f>TEXT(ABS(导出!AF29),"#.00")=TEXT(ABS(计算!AF29), "#.00")</f>
        <v>1</v>
      </c>
      <c r="AG31" s="65" t="b">
        <f>TEXT(导出!AG29,"#.00")=TEXT(计算!AG29, "#.00")</f>
        <v>1</v>
      </c>
      <c r="AH31" s="65" t="b">
        <f>TEXT(导出!AH29,"#.00")=TEXT(计算!AH29, "#.00")</f>
        <v>1</v>
      </c>
      <c r="AI31">
        <v>0</v>
      </c>
      <c r="AJ31" s="3">
        <v>41912.686249999999</v>
      </c>
      <c r="AK31" s="2" t="s">
        <v>2242</v>
      </c>
    </row>
    <row r="32" spans="1:37" x14ac:dyDescent="0.15">
      <c r="A32" s="2" t="s">
        <v>2241</v>
      </c>
      <c r="B32">
        <v>455</v>
      </c>
      <c r="C32" s="3">
        <v>40989</v>
      </c>
      <c r="D32" s="2" t="s">
        <v>37</v>
      </c>
      <c r="E32" s="2" t="s">
        <v>2240</v>
      </c>
      <c r="F32" s="2" t="s">
        <v>38</v>
      </c>
      <c r="G32" s="2" t="s">
        <v>98</v>
      </c>
      <c r="H32" s="2" t="s">
        <v>99</v>
      </c>
      <c r="I32" s="65" t="b">
        <f>导出!I30=计算!I30</f>
        <v>1</v>
      </c>
      <c r="J32" s="65" t="b">
        <f>导出!J30=计算!J30</f>
        <v>1</v>
      </c>
      <c r="K32" s="65" t="b">
        <f>导出!K30=计算!K30</f>
        <v>1</v>
      </c>
      <c r="L32" s="65" t="b">
        <f>导出!L30=计算!L30</f>
        <v>1</v>
      </c>
      <c r="M32" s="65" t="b">
        <f>导出!M30=计算!M30</f>
        <v>1</v>
      </c>
      <c r="N32" s="65" t="b">
        <f>TEXT(导出!N30,"#.00")=TEXT(计算!N30, "#.00")</f>
        <v>1</v>
      </c>
      <c r="O32" s="65" t="b">
        <f>TEXT(导出!O30,"#.00")=TEXT(计算!O30, "#.00")</f>
        <v>1</v>
      </c>
      <c r="P32" s="65" t="b">
        <f>TEXT(导出!P30,"#.00")=TEXT(计算!P30, "#.00")</f>
        <v>1</v>
      </c>
      <c r="Q32" s="65" t="b">
        <f>TEXT(导出!Q30,"#.00")=TEXT(计算!Q30, "#.00")</f>
        <v>0</v>
      </c>
      <c r="R32" s="65" t="b">
        <f>TEXT(导出!R30,"#.00")=TEXT(计算!R30, "#.00")</f>
        <v>1</v>
      </c>
      <c r="S32" s="65" t="b">
        <f>TEXT(导出!S30,"#.00")=TEXT(计算!S30, "#.00")</f>
        <v>1</v>
      </c>
      <c r="T32" s="65" t="b">
        <f>TEXT(导出!T30,"#.00")=TEXT(计算!T30, "#.00")</f>
        <v>1</v>
      </c>
      <c r="U32" s="65" t="b">
        <f>TEXT(导出!U30,"#.00")=TEXT(计算!U30, "#.00")</f>
        <v>1</v>
      </c>
      <c r="V32" s="65" t="b">
        <f>TEXT(导出!V30,"#.00")=TEXT(计算!V30*100, "#.00")</f>
        <v>1</v>
      </c>
      <c r="W32" s="65" t="b">
        <f>TEXT(导出!W30,"#.00")=TEXT(计算!W30, "#.00")</f>
        <v>1</v>
      </c>
      <c r="X32" s="65" t="b">
        <f>TEXT(导出!X30,"#.00")=TEXT(计算!X30, "#.00")</f>
        <v>1</v>
      </c>
      <c r="Y32" s="65" t="b">
        <f>TEXT(导出!Y30,"#.00")=TEXT(计算!Y30, "#.00")</f>
        <v>1</v>
      </c>
      <c r="Z32" s="65" t="b">
        <f>TEXT(导出!Z30,"#.00")=TEXT(计算!Z30, "#.00")</f>
        <v>1</v>
      </c>
      <c r="AA32" s="65" t="b">
        <f>TEXT(导出!AA30,"#.00")=TEXT(计算!AA30*100, "#.00")</f>
        <v>1</v>
      </c>
      <c r="AB32" s="65" t="b">
        <f>TEXT(导出!AB30,"#.00")=TEXT(计算!AB30, "#.00")</f>
        <v>1</v>
      </c>
      <c r="AC32" s="65" t="b">
        <f>TEXT(导出!AC30,"#.00")=TEXT(计算!AC30, "#.00")</f>
        <v>1</v>
      </c>
      <c r="AD32" s="65" t="b">
        <f>TEXT(导出!AD30,"#.00")=TEXT(计算!AD30, "#.00")</f>
        <v>1</v>
      </c>
      <c r="AE32" s="65" t="b">
        <f>ABS(导出!AE30-计算!AE30)&lt;10</f>
        <v>1</v>
      </c>
      <c r="AF32" s="65" t="b">
        <f>TEXT(ABS(导出!AF30),"#.00")=TEXT(ABS(计算!AF30), "#.00")</f>
        <v>1</v>
      </c>
      <c r="AG32" s="65" t="b">
        <f>TEXT(导出!AG30,"#.00")=TEXT(计算!AG30, "#.00")</f>
        <v>1</v>
      </c>
      <c r="AH32" s="65" t="b">
        <f>TEXT(导出!AH30,"#.00")=TEXT(计算!AH30, "#.00")</f>
        <v>1</v>
      </c>
      <c r="AI32">
        <v>0</v>
      </c>
      <c r="AJ32" s="3">
        <v>41912.686249999999</v>
      </c>
      <c r="AK32" s="2" t="s">
        <v>2239</v>
      </c>
    </row>
    <row r="33" spans="1:37" x14ac:dyDescent="0.15">
      <c r="A33" s="2" t="s">
        <v>2238</v>
      </c>
      <c r="B33">
        <v>463</v>
      </c>
      <c r="C33" s="3">
        <v>40998</v>
      </c>
      <c r="D33" s="2" t="s">
        <v>37</v>
      </c>
      <c r="E33" s="2" t="s">
        <v>2237</v>
      </c>
      <c r="F33" s="2" t="s">
        <v>38</v>
      </c>
      <c r="G33" s="2" t="s">
        <v>101</v>
      </c>
      <c r="H33" s="2" t="s">
        <v>102</v>
      </c>
      <c r="I33" s="65" t="b">
        <f>导出!I31=计算!I31</f>
        <v>1</v>
      </c>
      <c r="J33" s="65" t="b">
        <f>导出!J31=计算!J31</f>
        <v>1</v>
      </c>
      <c r="K33" s="65" t="b">
        <f>导出!K31=计算!K31</f>
        <v>1</v>
      </c>
      <c r="L33" s="65" t="b">
        <f>导出!L31=计算!L31</f>
        <v>1</v>
      </c>
      <c r="M33" s="65" t="b">
        <f>导出!M31=计算!M31</f>
        <v>1</v>
      </c>
      <c r="N33" s="65" t="b">
        <f>TEXT(导出!N31,"#.00")=TEXT(计算!N31, "#.00")</f>
        <v>1</v>
      </c>
      <c r="O33" s="65" t="b">
        <f>TEXT(导出!O31,"#.00")=TEXT(计算!O31, "#.00")</f>
        <v>1</v>
      </c>
      <c r="P33" s="65" t="b">
        <f>TEXT(导出!P31,"#.00")=TEXT(计算!P31, "#.00")</f>
        <v>1</v>
      </c>
      <c r="Q33" s="65" t="b">
        <f>TEXT(导出!Q31,"#.00")=TEXT(计算!Q31, "#.00")</f>
        <v>0</v>
      </c>
      <c r="R33" s="65" t="b">
        <f>TEXT(导出!R31,"#.00")=TEXT(计算!R31, "#.00")</f>
        <v>1</v>
      </c>
      <c r="S33" s="65" t="b">
        <f>TEXT(导出!S31,"#.00")=TEXT(计算!S31, "#.00")</f>
        <v>1</v>
      </c>
      <c r="T33" s="65" t="b">
        <f>TEXT(导出!T31,"#.00")=TEXT(计算!T31, "#.00")</f>
        <v>1</v>
      </c>
      <c r="U33" s="65" t="b">
        <f>TEXT(导出!U31,"#.00")=TEXT(计算!U31, "#.00")</f>
        <v>1</v>
      </c>
      <c r="V33" s="65" t="b">
        <f>TEXT(导出!V31,"#.00")=TEXT(计算!V31*100, "#.00")</f>
        <v>1</v>
      </c>
      <c r="W33" s="65" t="b">
        <f>TEXT(导出!W31,"#.00")=TEXT(计算!W31, "#.00")</f>
        <v>1</v>
      </c>
      <c r="X33" s="65" t="b">
        <f>TEXT(导出!X31,"#.00")=TEXT(计算!X31, "#.00")</f>
        <v>1</v>
      </c>
      <c r="Y33" s="65" t="b">
        <f>TEXT(导出!Y31,"#.00")=TEXT(计算!Y31, "#.00")</f>
        <v>1</v>
      </c>
      <c r="Z33" s="65" t="b">
        <f>TEXT(导出!Z31,"#.00")=TEXT(计算!Z31, "#.00")</f>
        <v>1</v>
      </c>
      <c r="AA33" s="65" t="b">
        <f>TEXT(导出!AA31,"#.00")=TEXT(计算!AA31*100, "#.00")</f>
        <v>1</v>
      </c>
      <c r="AB33" s="65" t="b">
        <f>TEXT(导出!AB31,"#.00")=TEXT(计算!AB31, "#.00")</f>
        <v>1</v>
      </c>
      <c r="AC33" s="65" t="b">
        <f>TEXT(导出!AC31,"#.00")=TEXT(计算!AC31, "#.00")</f>
        <v>1</v>
      </c>
      <c r="AD33" s="65" t="b">
        <f>TEXT(导出!AD31,"#.00")=TEXT(计算!AD31, "#.00")</f>
        <v>1</v>
      </c>
      <c r="AE33" s="65" t="b">
        <f>ABS(导出!AE31-计算!AE31)&lt;10</f>
        <v>1</v>
      </c>
      <c r="AF33" s="65" t="b">
        <f>TEXT(ABS(导出!AF31),"#.00")=TEXT(ABS(计算!AF31), "#.00")</f>
        <v>1</v>
      </c>
      <c r="AG33" s="65" t="b">
        <f>TEXT(导出!AG31,"#.00")=TEXT(计算!AG31, "#.00")</f>
        <v>1</v>
      </c>
      <c r="AH33" s="65" t="b">
        <f>TEXT(导出!AH31,"#.00")=TEXT(计算!AH31, "#.00")</f>
        <v>1</v>
      </c>
      <c r="AI33">
        <v>0</v>
      </c>
      <c r="AJ33" s="3">
        <v>41912.686249999999</v>
      </c>
      <c r="AK33" s="2" t="s">
        <v>2236</v>
      </c>
    </row>
    <row r="34" spans="1:37" x14ac:dyDescent="0.15">
      <c r="A34" s="2" t="s">
        <v>2235</v>
      </c>
      <c r="B34">
        <v>479</v>
      </c>
      <c r="C34" s="3">
        <v>41000</v>
      </c>
      <c r="D34" s="2" t="s">
        <v>37</v>
      </c>
      <c r="E34" s="2" t="s">
        <v>2234</v>
      </c>
      <c r="F34" s="2" t="s">
        <v>38</v>
      </c>
      <c r="G34" s="2" t="s">
        <v>108</v>
      </c>
      <c r="H34" s="2" t="s">
        <v>109</v>
      </c>
      <c r="I34" s="65" t="b">
        <f>导出!I32=计算!I32</f>
        <v>1</v>
      </c>
      <c r="J34" s="65" t="b">
        <f>导出!J32=计算!J32</f>
        <v>1</v>
      </c>
      <c r="K34" s="65" t="b">
        <f>导出!K32=计算!K32</f>
        <v>1</v>
      </c>
      <c r="L34" s="65" t="b">
        <f>导出!L32=计算!L32</f>
        <v>1</v>
      </c>
      <c r="M34" s="65" t="b">
        <f>导出!M32=计算!M32</f>
        <v>1</v>
      </c>
      <c r="N34" s="65" t="b">
        <f>TEXT(导出!N32,"#.00")=TEXT(计算!N32, "#.00")</f>
        <v>1</v>
      </c>
      <c r="O34" s="65" t="b">
        <f>TEXT(导出!O32,"#.00")=TEXT(计算!O32, "#.00")</f>
        <v>1</v>
      </c>
      <c r="P34" s="65" t="b">
        <f>TEXT(导出!P32,"#.00")=TEXT(计算!P32, "#.00")</f>
        <v>1</v>
      </c>
      <c r="Q34" s="65" t="b">
        <f>TEXT(导出!Q32,"#.00")=TEXT(计算!Q32, "#.00")</f>
        <v>1</v>
      </c>
      <c r="R34" s="65" t="b">
        <f>TEXT(导出!R32,"#.00")=TEXT(计算!R32, "#.00")</f>
        <v>1</v>
      </c>
      <c r="S34" s="65" t="b">
        <f>TEXT(导出!S32,"#.00")=TEXT(计算!S32, "#.00")</f>
        <v>1</v>
      </c>
      <c r="T34" s="65" t="b">
        <f>TEXT(导出!T32,"#.00")=TEXT(计算!T32, "#.00")</f>
        <v>1</v>
      </c>
      <c r="U34" s="65" t="b">
        <f>TEXT(导出!U32,"#.00")=TEXT(计算!U32, "#.00")</f>
        <v>1</v>
      </c>
      <c r="V34" s="65" t="b">
        <f>TEXT(导出!V32,"#.00")=TEXT(计算!V32*100, "#.00")</f>
        <v>1</v>
      </c>
      <c r="W34" s="65" t="b">
        <f>TEXT(导出!W32,"#.00")=TEXT(计算!W32, "#.00")</f>
        <v>1</v>
      </c>
      <c r="X34" s="65" t="b">
        <f>TEXT(导出!X32,"#.00")=TEXT(计算!X32, "#.00")</f>
        <v>1</v>
      </c>
      <c r="Y34" s="65" t="b">
        <f>TEXT(导出!Y32,"#.00")=TEXT(计算!Y32, "#.00")</f>
        <v>1</v>
      </c>
      <c r="Z34" s="65" t="b">
        <f>TEXT(导出!Z32,"#.00")=TEXT(计算!Z32, "#.00")</f>
        <v>1</v>
      </c>
      <c r="AA34" s="65" t="b">
        <f>TEXT(导出!AA32,"#.00")=TEXT(计算!AA32*100, "#.00")</f>
        <v>1</v>
      </c>
      <c r="AB34" s="65" t="b">
        <f>TEXT(导出!AB32,"#.00")=TEXT(计算!AB32, "#.00")</f>
        <v>1</v>
      </c>
      <c r="AC34" s="65" t="b">
        <f>TEXT(导出!AC32,"#.00")=TEXT(计算!AC32, "#.00")</f>
        <v>1</v>
      </c>
      <c r="AD34" s="65" t="b">
        <f>TEXT(导出!AD32,"#.00")=TEXT(计算!AD32, "#.00")</f>
        <v>1</v>
      </c>
      <c r="AE34" s="65" t="b">
        <f>ABS(导出!AE32-计算!AE32)&lt;10</f>
        <v>1</v>
      </c>
      <c r="AF34" s="65" t="b">
        <f>TEXT(ABS(导出!AF32),"#.00")=TEXT(ABS(计算!AF32), "#.00")</f>
        <v>1</v>
      </c>
      <c r="AG34" s="65" t="b">
        <f>TEXT(导出!AG32,"#.00")=TEXT(计算!AG32, "#.00")</f>
        <v>1</v>
      </c>
      <c r="AH34" s="65" t="b">
        <f>TEXT(导出!AH32,"#.00")=TEXT(计算!AH32, "#.00")</f>
        <v>1</v>
      </c>
      <c r="AI34">
        <v>0</v>
      </c>
      <c r="AJ34" s="3">
        <v>41912.686249999999</v>
      </c>
      <c r="AK34" s="2" t="s">
        <v>2233</v>
      </c>
    </row>
    <row r="35" spans="1:37" x14ac:dyDescent="0.15">
      <c r="A35" s="2" t="s">
        <v>2232</v>
      </c>
      <c r="B35">
        <v>47</v>
      </c>
      <c r="C35" s="3">
        <v>41000</v>
      </c>
      <c r="D35" s="2" t="s">
        <v>37</v>
      </c>
      <c r="E35" s="2" t="s">
        <v>2231</v>
      </c>
      <c r="F35" s="2" t="s">
        <v>41</v>
      </c>
      <c r="G35" s="2" t="s">
        <v>106</v>
      </c>
      <c r="H35" s="2" t="s">
        <v>107</v>
      </c>
      <c r="I35" s="65" t="b">
        <f>导出!I33=计算!I33</f>
        <v>1</v>
      </c>
      <c r="J35" s="65" t="b">
        <f>导出!J33=计算!J33</f>
        <v>1</v>
      </c>
      <c r="K35" s="65" t="b">
        <f>导出!K33=计算!K33</f>
        <v>1</v>
      </c>
      <c r="L35" s="65" t="b">
        <f>导出!L33=计算!L33</f>
        <v>1</v>
      </c>
      <c r="M35" s="65" t="b">
        <f>导出!M33=计算!M33</f>
        <v>1</v>
      </c>
      <c r="N35" s="65" t="b">
        <f>TEXT(导出!N33,"#.00")=TEXT(计算!N33, "#.00")</f>
        <v>1</v>
      </c>
      <c r="O35" s="65" t="b">
        <f>TEXT(导出!O33,"#.00")=TEXT(计算!O33, "#.00")</f>
        <v>1</v>
      </c>
      <c r="P35" s="65" t="b">
        <f>TEXT(导出!P33,"#.00")=TEXT(计算!P33, "#.00")</f>
        <v>1</v>
      </c>
      <c r="Q35" s="65" t="b">
        <f>TEXT(导出!Q33,"#.00")=TEXT(计算!Q33, "#.00")</f>
        <v>1</v>
      </c>
      <c r="R35" s="65" t="b">
        <f>TEXT(导出!R33,"#.00")=TEXT(计算!R33, "#.00")</f>
        <v>1</v>
      </c>
      <c r="S35" s="65" t="b">
        <f>TEXT(导出!S33,"#.00")=TEXT(计算!S33, "#.00")</f>
        <v>1</v>
      </c>
      <c r="T35" s="65" t="b">
        <f>TEXT(导出!T33,"#.00")=TEXT(计算!T33, "#.00")</f>
        <v>1</v>
      </c>
      <c r="U35" s="65" t="b">
        <f>TEXT(导出!U33,"#.00")=TEXT(计算!U33, "#.00")</f>
        <v>1</v>
      </c>
      <c r="V35" s="65" t="b">
        <f>TEXT(导出!V33,"#.00")=TEXT(计算!V33*100, "#.00")</f>
        <v>1</v>
      </c>
      <c r="W35" s="65" t="b">
        <f>TEXT(导出!W33,"#.00")=TEXT(计算!W33, "#.00")</f>
        <v>1</v>
      </c>
      <c r="X35" s="65" t="b">
        <f>TEXT(导出!X33,"#.00")=TEXT(计算!X33, "#.00")</f>
        <v>1</v>
      </c>
      <c r="Y35" s="65" t="b">
        <f>TEXT(导出!Y33,"#.00")=TEXT(计算!Y33, "#.00")</f>
        <v>1</v>
      </c>
      <c r="Z35" s="65" t="b">
        <f>TEXT(导出!Z33,"#.00")=TEXT(计算!Z33, "#.00")</f>
        <v>1</v>
      </c>
      <c r="AA35" s="65" t="b">
        <f>TEXT(导出!AA33,"#.00")=TEXT(计算!AA33*100, "#.00")</f>
        <v>1</v>
      </c>
      <c r="AB35" s="65" t="b">
        <f>TEXT(导出!AB33,"#.00")=TEXT(计算!AB33, "#.00")</f>
        <v>1</v>
      </c>
      <c r="AC35" s="65" t="b">
        <f>TEXT(导出!AC33,"#.00")=TEXT(计算!AC33, "#.00")</f>
        <v>1</v>
      </c>
      <c r="AD35" s="65" t="b">
        <f>TEXT(导出!AD33,"#.00")=TEXT(计算!AD33, "#.00")</f>
        <v>1</v>
      </c>
      <c r="AE35" s="65" t="b">
        <f>ABS(导出!AE33-计算!AE33)&lt;10</f>
        <v>1</v>
      </c>
      <c r="AF35" s="65" t="b">
        <f>TEXT(ABS(导出!AF33),"#.00")=TEXT(ABS(计算!AF33), "#.00")</f>
        <v>1</v>
      </c>
      <c r="AG35" s="65" t="b">
        <f>TEXT(导出!AG33,"#.00")=TEXT(计算!AG33, "#.00")</f>
        <v>1</v>
      </c>
      <c r="AH35" s="65" t="b">
        <f>TEXT(导出!AH33,"#.00")=TEXT(计算!AH33, "#.00")</f>
        <v>1</v>
      </c>
      <c r="AI35">
        <v>0</v>
      </c>
      <c r="AJ35" s="3">
        <v>41912.6862384259</v>
      </c>
      <c r="AK35" s="2" t="s">
        <v>2230</v>
      </c>
    </row>
    <row r="36" spans="1:37" x14ac:dyDescent="0.15">
      <c r="A36" s="2" t="s">
        <v>2229</v>
      </c>
      <c r="B36">
        <v>430</v>
      </c>
      <c r="C36" s="3">
        <v>41000</v>
      </c>
      <c r="D36" s="2" t="s">
        <v>37</v>
      </c>
      <c r="E36" s="2" t="s">
        <v>2228</v>
      </c>
      <c r="F36" s="2" t="s">
        <v>38</v>
      </c>
      <c r="G36" s="2" t="s">
        <v>104</v>
      </c>
      <c r="H36" s="2" t="s">
        <v>105</v>
      </c>
      <c r="I36" s="65" t="b">
        <f>导出!I34=计算!I34</f>
        <v>1</v>
      </c>
      <c r="J36" s="65" t="b">
        <f>导出!J34=计算!J34</f>
        <v>1</v>
      </c>
      <c r="K36" s="65" t="b">
        <f>导出!K34=计算!K34</f>
        <v>1</v>
      </c>
      <c r="L36" s="65" t="b">
        <f>导出!L34=计算!L34</f>
        <v>1</v>
      </c>
      <c r="M36" s="65" t="b">
        <f>导出!M34=计算!M34</f>
        <v>1</v>
      </c>
      <c r="N36" s="65" t="b">
        <f>TEXT(导出!N34,"#.00")=TEXT(计算!N34, "#.00")</f>
        <v>1</v>
      </c>
      <c r="O36" s="65" t="b">
        <f>TEXT(导出!O34,"#.00")=TEXT(计算!O34, "#.00")</f>
        <v>1</v>
      </c>
      <c r="P36" s="65" t="b">
        <f>TEXT(导出!P34,"#.00")=TEXT(计算!P34, "#.00")</f>
        <v>1</v>
      </c>
      <c r="Q36" s="65" t="b">
        <f>TEXT(导出!Q34,"#.00")=TEXT(计算!Q34, "#.00")</f>
        <v>1</v>
      </c>
      <c r="R36" s="65" t="b">
        <f>TEXT(导出!R34,"#.00")=TEXT(计算!R34, "#.00")</f>
        <v>1</v>
      </c>
      <c r="S36" s="65" t="b">
        <f>TEXT(导出!S34,"#.00")=TEXT(计算!S34, "#.00")</f>
        <v>1</v>
      </c>
      <c r="T36" s="65" t="b">
        <f>TEXT(导出!T34,"#.00")=TEXT(计算!T34, "#.00")</f>
        <v>1</v>
      </c>
      <c r="U36" s="65" t="b">
        <f>TEXT(导出!U34,"#.00")=TEXT(计算!U34, "#.00")</f>
        <v>1</v>
      </c>
      <c r="V36" s="65" t="b">
        <f>TEXT(导出!V34,"#.00")=TEXT(计算!V34*100, "#.00")</f>
        <v>1</v>
      </c>
      <c r="W36" s="65" t="b">
        <f>TEXT(导出!W34,"#.00")=TEXT(计算!W34, "#.00")</f>
        <v>1</v>
      </c>
      <c r="X36" s="65" t="b">
        <f>TEXT(导出!X34,"#.00")=TEXT(计算!X34, "#.00")</f>
        <v>1</v>
      </c>
      <c r="Y36" s="65" t="b">
        <f>TEXT(导出!Y34,"#.00")=TEXT(计算!Y34, "#.00")</f>
        <v>1</v>
      </c>
      <c r="Z36" s="65" t="b">
        <f>TEXT(导出!Z34,"#.00")=TEXT(计算!Z34, "#.00")</f>
        <v>1</v>
      </c>
      <c r="AA36" s="65" t="b">
        <f>TEXT(导出!AA34,"#.00")=TEXT(计算!AA34*100, "#.00")</f>
        <v>1</v>
      </c>
      <c r="AB36" s="65" t="b">
        <f>TEXT(导出!AB34,"#.00")=TEXT(计算!AB34, "#.00")</f>
        <v>1</v>
      </c>
      <c r="AC36" s="65" t="b">
        <f>TEXT(导出!AC34,"#.00")=TEXT(计算!AC34, "#.00")</f>
        <v>1</v>
      </c>
      <c r="AD36" s="65" t="b">
        <f>TEXT(导出!AD34,"#.00")=TEXT(计算!AD34, "#.00")</f>
        <v>1</v>
      </c>
      <c r="AE36" s="65" t="b">
        <f>ABS(导出!AE34-计算!AE34)&lt;10</f>
        <v>1</v>
      </c>
      <c r="AF36" s="65" t="b">
        <f>TEXT(ABS(导出!AF34),"#.00")=TEXT(ABS(计算!AF34), "#.00")</f>
        <v>1</v>
      </c>
      <c r="AG36" s="65" t="b">
        <f>TEXT(导出!AG34,"#.00")=TEXT(计算!AG34, "#.00")</f>
        <v>1</v>
      </c>
      <c r="AH36" s="65" t="b">
        <f>TEXT(导出!AH34,"#.00")=TEXT(计算!AH34, "#.00")</f>
        <v>1</v>
      </c>
      <c r="AI36">
        <v>0</v>
      </c>
      <c r="AJ36" s="3">
        <v>41912.686249999999</v>
      </c>
      <c r="AK36" s="2" t="s">
        <v>2227</v>
      </c>
    </row>
    <row r="37" spans="1:37" x14ac:dyDescent="0.15">
      <c r="A37" s="2" t="s">
        <v>2226</v>
      </c>
      <c r="B37">
        <v>471</v>
      </c>
      <c r="C37" s="3">
        <v>41006</v>
      </c>
      <c r="D37" s="2" t="s">
        <v>37</v>
      </c>
      <c r="E37" s="2" t="s">
        <v>2225</v>
      </c>
      <c r="F37" s="2" t="s">
        <v>38</v>
      </c>
      <c r="G37" s="2" t="s">
        <v>110</v>
      </c>
      <c r="H37" s="2" t="s">
        <v>111</v>
      </c>
      <c r="I37" s="65" t="b">
        <f>导出!I35=计算!I35</f>
        <v>1</v>
      </c>
      <c r="J37" s="65" t="b">
        <f>导出!J35=计算!J35</f>
        <v>1</v>
      </c>
      <c r="K37" s="65" t="b">
        <f>导出!K35=计算!K35</f>
        <v>1</v>
      </c>
      <c r="L37" s="65" t="b">
        <f>导出!L35=计算!L35</f>
        <v>1</v>
      </c>
      <c r="M37" s="65" t="b">
        <f>导出!M35=计算!M35</f>
        <v>1</v>
      </c>
      <c r="N37" s="65" t="b">
        <f>TEXT(导出!N35,"#.00")=TEXT(计算!N35, "#.00")</f>
        <v>1</v>
      </c>
      <c r="O37" s="65" t="b">
        <f>TEXT(导出!O35,"#.00")=TEXT(计算!O35, "#.00")</f>
        <v>1</v>
      </c>
      <c r="P37" s="65" t="b">
        <f>TEXT(导出!P35,"#.00")=TEXT(计算!P35, "#.00")</f>
        <v>1</v>
      </c>
      <c r="Q37" s="65" t="b">
        <f>TEXT(导出!Q35,"#.00")=TEXT(计算!Q35, "#.00")</f>
        <v>0</v>
      </c>
      <c r="R37" s="65" t="b">
        <f>TEXT(导出!R35,"#.00")=TEXT(计算!R35, "#.00")</f>
        <v>1</v>
      </c>
      <c r="S37" s="65" t="b">
        <f>TEXT(导出!S35,"#.00")=TEXT(计算!S35, "#.00")</f>
        <v>1</v>
      </c>
      <c r="T37" s="65" t="b">
        <f>TEXT(导出!T35,"#.00")=TEXT(计算!T35, "#.00")</f>
        <v>1</v>
      </c>
      <c r="U37" s="65" t="b">
        <f>TEXT(导出!U35,"#.00")=TEXT(计算!U35, "#.00")</f>
        <v>1</v>
      </c>
      <c r="V37" s="65" t="b">
        <f>TEXT(导出!V35,"#.00")=TEXT(计算!V35*100, "#.00")</f>
        <v>1</v>
      </c>
      <c r="W37" s="65" t="b">
        <f>TEXT(导出!W35,"#.00")=TEXT(计算!W35, "#.00")</f>
        <v>1</v>
      </c>
      <c r="X37" s="65" t="b">
        <f>TEXT(导出!X35,"#.00")=TEXT(计算!X35, "#.00")</f>
        <v>1</v>
      </c>
      <c r="Y37" s="65" t="b">
        <f>TEXT(导出!Y35,"#.00")=TEXT(计算!Y35, "#.00")</f>
        <v>1</v>
      </c>
      <c r="Z37" s="65" t="b">
        <f>TEXT(导出!Z35,"#.00")=TEXT(计算!Z35, "#.00")</f>
        <v>1</v>
      </c>
      <c r="AA37" s="65" t="b">
        <f>TEXT(导出!AA35,"#.00")=TEXT(计算!AA35*100, "#.00")</f>
        <v>1</v>
      </c>
      <c r="AB37" s="65" t="b">
        <f>TEXT(导出!AB35,"#.00")=TEXT(计算!AB35, "#.00")</f>
        <v>1</v>
      </c>
      <c r="AC37" s="65" t="b">
        <f>TEXT(导出!AC35,"#.00")=TEXT(计算!AC35, "#.00")</f>
        <v>1</v>
      </c>
      <c r="AD37" s="65" t="b">
        <f>TEXT(导出!AD35,"#.00")=TEXT(计算!AD35, "#.00")</f>
        <v>1</v>
      </c>
      <c r="AE37" s="65" t="b">
        <f>ABS(导出!AE35-计算!AE35)&lt;10</f>
        <v>1</v>
      </c>
      <c r="AF37" s="65" t="b">
        <f>TEXT(ABS(导出!AF35),"#.00")=TEXT(ABS(计算!AF35), "#.00")</f>
        <v>1</v>
      </c>
      <c r="AG37" s="65" t="b">
        <f>TEXT(导出!AG35,"#.00")=TEXT(计算!AG35, "#.00")</f>
        <v>1</v>
      </c>
      <c r="AH37" s="65" t="b">
        <f>TEXT(导出!AH35,"#.00")=TEXT(计算!AH35, "#.00")</f>
        <v>1</v>
      </c>
      <c r="AI37">
        <v>0</v>
      </c>
      <c r="AJ37" s="3">
        <v>41912.686249999999</v>
      </c>
      <c r="AK37" s="2" t="s">
        <v>2224</v>
      </c>
    </row>
    <row r="38" spans="1:37" x14ac:dyDescent="0.15">
      <c r="A38" s="2" t="s">
        <v>2223</v>
      </c>
      <c r="B38">
        <v>503</v>
      </c>
      <c r="C38" s="3">
        <v>41030</v>
      </c>
      <c r="D38" s="2" t="s">
        <v>37</v>
      </c>
      <c r="E38" s="2" t="s">
        <v>2222</v>
      </c>
      <c r="F38" s="2" t="s">
        <v>38</v>
      </c>
      <c r="G38" s="2" t="s">
        <v>114</v>
      </c>
      <c r="H38" s="2" t="s">
        <v>115</v>
      </c>
      <c r="I38" s="65" t="b">
        <f>导出!I36=计算!I36</f>
        <v>1</v>
      </c>
      <c r="J38" s="65" t="b">
        <f>导出!J36=计算!J36</f>
        <v>1</v>
      </c>
      <c r="K38" s="65" t="b">
        <f>导出!K36=计算!K36</f>
        <v>1</v>
      </c>
      <c r="L38" s="65" t="b">
        <f>导出!L36=计算!L36</f>
        <v>1</v>
      </c>
      <c r="M38" s="65" t="b">
        <f>导出!M36=计算!M36</f>
        <v>1</v>
      </c>
      <c r="N38" s="65" t="b">
        <f>TEXT(导出!N36,"#.00")=TEXT(计算!N36, "#.00")</f>
        <v>1</v>
      </c>
      <c r="O38" s="65" t="b">
        <f>TEXT(导出!O36,"#.00")=TEXT(计算!O36, "#.00")</f>
        <v>1</v>
      </c>
      <c r="P38" s="65" t="b">
        <f>TEXT(导出!P36,"#.00")=TEXT(计算!P36, "#.00")</f>
        <v>1</v>
      </c>
      <c r="Q38" s="65" t="b">
        <f>TEXT(导出!Q36,"#.00")=TEXT(计算!Q36, "#.00")</f>
        <v>1</v>
      </c>
      <c r="R38" s="65" t="b">
        <f>TEXT(导出!R36,"#.00")=TEXT(计算!R36, "#.00")</f>
        <v>1</v>
      </c>
      <c r="S38" s="65" t="b">
        <f>TEXT(导出!S36,"#.00")=TEXT(计算!S36, "#.00")</f>
        <v>1</v>
      </c>
      <c r="T38" s="65" t="b">
        <f>TEXT(导出!T36,"#.00")=TEXT(计算!T36, "#.00")</f>
        <v>1</v>
      </c>
      <c r="U38" s="65" t="b">
        <f>TEXT(导出!U36,"#.00")=TEXT(计算!U36, "#.00")</f>
        <v>1</v>
      </c>
      <c r="V38" s="65" t="b">
        <f>TEXT(导出!V36,"#.00")=TEXT(计算!V36*100, "#.00")</f>
        <v>1</v>
      </c>
      <c r="W38" s="65" t="b">
        <f>TEXT(导出!W36,"#.00")=TEXT(计算!W36, "#.00")</f>
        <v>1</v>
      </c>
      <c r="X38" s="65" t="b">
        <f>TEXT(导出!X36,"#.00")=TEXT(计算!X36, "#.00")</f>
        <v>1</v>
      </c>
      <c r="Y38" s="65" t="b">
        <f>TEXT(导出!Y36,"#.00")=TEXT(计算!Y36, "#.00")</f>
        <v>1</v>
      </c>
      <c r="Z38" s="65" t="b">
        <f>TEXT(导出!Z36,"#.00")=TEXT(计算!Z36, "#.00")</f>
        <v>1</v>
      </c>
      <c r="AA38" s="65" t="b">
        <f>TEXT(导出!AA36,"#.00")=TEXT(计算!AA36*100, "#.00")</f>
        <v>1</v>
      </c>
      <c r="AB38" s="65" t="b">
        <f>TEXT(导出!AB36,"#.00")=TEXT(计算!AB36, "#.00")</f>
        <v>1</v>
      </c>
      <c r="AC38" s="65" t="b">
        <f>TEXT(导出!AC36,"#.00")=TEXT(计算!AC36, "#.00")</f>
        <v>1</v>
      </c>
      <c r="AD38" s="65" t="b">
        <f>TEXT(导出!AD36,"#.00")=TEXT(计算!AD36, "#.00")</f>
        <v>1</v>
      </c>
      <c r="AE38" s="65" t="b">
        <f>ABS(导出!AE36-计算!AE36)&lt;10</f>
        <v>0</v>
      </c>
      <c r="AF38" s="65" t="b">
        <f>TEXT(ABS(导出!AF36),"#.00")=TEXT(ABS(计算!AF36), "#.00")</f>
        <v>1</v>
      </c>
      <c r="AG38" s="65" t="b">
        <f>TEXT(导出!AG36,"#.00")=TEXT(计算!AG36, "#.00")</f>
        <v>1</v>
      </c>
      <c r="AH38" s="65" t="b">
        <f>TEXT(导出!AH36,"#.00")=TEXT(计算!AH36, "#.00")</f>
        <v>1</v>
      </c>
      <c r="AI38">
        <v>0</v>
      </c>
      <c r="AJ38" s="3">
        <v>41912.686249999999</v>
      </c>
      <c r="AK38" s="2" t="s">
        <v>2221</v>
      </c>
    </row>
    <row r="39" spans="1:37" x14ac:dyDescent="0.15">
      <c r="A39" s="2" t="s">
        <v>2220</v>
      </c>
      <c r="B39">
        <v>519</v>
      </c>
      <c r="C39" s="3">
        <v>41030</v>
      </c>
      <c r="D39" s="2" t="s">
        <v>37</v>
      </c>
      <c r="E39" s="2" t="s">
        <v>2219</v>
      </c>
      <c r="F39" s="2" t="s">
        <v>38</v>
      </c>
      <c r="G39" s="2" t="s">
        <v>112</v>
      </c>
      <c r="H39" s="2" t="s">
        <v>113</v>
      </c>
      <c r="I39" s="65" t="b">
        <f>导出!I37=计算!I37</f>
        <v>1</v>
      </c>
      <c r="J39" s="65" t="b">
        <f>导出!J37=计算!J37</f>
        <v>1</v>
      </c>
      <c r="K39" s="65" t="b">
        <f>导出!K37=计算!K37</f>
        <v>1</v>
      </c>
      <c r="L39" s="65" t="b">
        <f>导出!L37=计算!L37</f>
        <v>1</v>
      </c>
      <c r="M39" s="65" t="b">
        <f>导出!M37=计算!M37</f>
        <v>1</v>
      </c>
      <c r="N39" s="65" t="b">
        <f>TEXT(导出!N37,"#.00")=TEXT(计算!N37, "#.00")</f>
        <v>1</v>
      </c>
      <c r="O39" s="65" t="b">
        <f>TEXT(导出!O37,"#.00")=TEXT(计算!O37, "#.00")</f>
        <v>1</v>
      </c>
      <c r="P39" s="65" t="b">
        <f>TEXT(导出!P37,"#.00")=TEXT(计算!P37, "#.00")</f>
        <v>1</v>
      </c>
      <c r="Q39" s="65" t="b">
        <f>TEXT(导出!Q37,"#.00")=TEXT(计算!Q37, "#.00")</f>
        <v>0</v>
      </c>
      <c r="R39" s="65" t="b">
        <f>TEXT(导出!R37,"#.00")=TEXT(计算!R37, "#.00")</f>
        <v>1</v>
      </c>
      <c r="S39" s="65" t="b">
        <f>TEXT(导出!S37,"#.00")=TEXT(计算!S37, "#.00")</f>
        <v>1</v>
      </c>
      <c r="T39" s="65" t="b">
        <f>TEXT(导出!T37,"#.00")=TEXT(计算!T37, "#.00")</f>
        <v>1</v>
      </c>
      <c r="U39" s="65" t="b">
        <f>TEXT(导出!U37,"#.00")=TEXT(计算!U37, "#.00")</f>
        <v>1</v>
      </c>
      <c r="V39" s="65" t="b">
        <f>TEXT(导出!V37,"#.00")=TEXT(计算!V37*100, "#.00")</f>
        <v>1</v>
      </c>
      <c r="W39" s="65" t="b">
        <f>TEXT(导出!W37,"#.00")=TEXT(计算!W37, "#.00")</f>
        <v>1</v>
      </c>
      <c r="X39" s="65" t="b">
        <f>TEXT(导出!X37,"#.00")=TEXT(计算!X37, "#.00")</f>
        <v>1</v>
      </c>
      <c r="Y39" s="65" t="b">
        <f>TEXT(导出!Y37,"#.00")=TEXT(计算!Y37, "#.00")</f>
        <v>1</v>
      </c>
      <c r="Z39" s="65" t="b">
        <f>TEXT(导出!Z37,"#.00")=TEXT(计算!Z37, "#.00")</f>
        <v>1</v>
      </c>
      <c r="AA39" s="65" t="b">
        <f>TEXT(导出!AA37,"#.00")=TEXT(计算!AA37*100, "#.00")</f>
        <v>1</v>
      </c>
      <c r="AB39" s="65" t="b">
        <f>TEXT(导出!AB37,"#.00")=TEXT(计算!AB37, "#.00")</f>
        <v>1</v>
      </c>
      <c r="AC39" s="65" t="b">
        <f>TEXT(导出!AC37,"#.00")=TEXT(计算!AC37, "#.00")</f>
        <v>1</v>
      </c>
      <c r="AD39" s="65" t="b">
        <f>TEXT(导出!AD37,"#.00")=TEXT(计算!AD37, "#.00")</f>
        <v>1</v>
      </c>
      <c r="AE39" s="65" t="b">
        <f>ABS(导出!AE37-计算!AE37)&lt;10</f>
        <v>1</v>
      </c>
      <c r="AF39" s="65" t="b">
        <f>TEXT(ABS(导出!AF37),"#.00")=TEXT(ABS(计算!AF37), "#.00")</f>
        <v>1</v>
      </c>
      <c r="AG39" s="65" t="b">
        <f>TEXT(导出!AG37,"#.00")=TEXT(计算!AG37, "#.00")</f>
        <v>1</v>
      </c>
      <c r="AH39" s="65" t="b">
        <f>TEXT(导出!AH37,"#.00")=TEXT(计算!AH37, "#.00")</f>
        <v>1</v>
      </c>
      <c r="AI39">
        <v>0</v>
      </c>
      <c r="AJ39" s="3">
        <v>41912.686249999999</v>
      </c>
      <c r="AK39" s="2" t="s">
        <v>2218</v>
      </c>
    </row>
    <row r="40" spans="1:37" x14ac:dyDescent="0.15">
      <c r="A40" s="2" t="s">
        <v>2217</v>
      </c>
      <c r="B40">
        <v>487</v>
      </c>
      <c r="C40" s="3">
        <v>41031</v>
      </c>
      <c r="D40" s="2" t="s">
        <v>37</v>
      </c>
      <c r="E40" s="2" t="s">
        <v>2216</v>
      </c>
      <c r="F40" s="2" t="s">
        <v>38</v>
      </c>
      <c r="G40" s="2" t="s">
        <v>116</v>
      </c>
      <c r="H40" s="2" t="s">
        <v>117</v>
      </c>
      <c r="I40" s="65" t="b">
        <f>导出!I38=计算!I38</f>
        <v>1</v>
      </c>
      <c r="J40" s="65" t="b">
        <f>导出!J38=计算!J38</f>
        <v>1</v>
      </c>
      <c r="K40" s="65" t="b">
        <f>导出!K38=计算!K38</f>
        <v>1</v>
      </c>
      <c r="L40" s="65" t="b">
        <f>导出!L38=计算!L38</f>
        <v>1</v>
      </c>
      <c r="M40" s="65" t="b">
        <f>导出!M38=计算!M38</f>
        <v>1</v>
      </c>
      <c r="N40" s="65" t="b">
        <f>TEXT(导出!N38,"#.00")=TEXT(计算!N38, "#.00")</f>
        <v>1</v>
      </c>
      <c r="O40" s="65" t="b">
        <f>TEXT(导出!O38,"#.00")=TEXT(计算!O38, "#.00")</f>
        <v>1</v>
      </c>
      <c r="P40" s="65" t="b">
        <f>TEXT(导出!P38,"#.00")=TEXT(计算!P38, "#.00")</f>
        <v>1</v>
      </c>
      <c r="Q40" s="65" t="b">
        <f>TEXT(导出!Q38,"#.00")=TEXT(计算!Q38, "#.00")</f>
        <v>1</v>
      </c>
      <c r="R40" s="65" t="b">
        <f>TEXT(导出!R38,"#.00")=TEXT(计算!R38, "#.00")</f>
        <v>1</v>
      </c>
      <c r="S40" s="65" t="b">
        <f>TEXT(导出!S38,"#.00")=TEXT(计算!S38, "#.00")</f>
        <v>1</v>
      </c>
      <c r="T40" s="65" t="b">
        <f>TEXT(导出!T38,"#.00")=TEXT(计算!T38, "#.00")</f>
        <v>1</v>
      </c>
      <c r="U40" s="65" t="b">
        <f>TEXT(导出!U38,"#.00")=TEXT(计算!U38, "#.00")</f>
        <v>1</v>
      </c>
      <c r="V40" s="65" t="b">
        <f>TEXT(导出!V38,"#.00")=TEXT(计算!V38*100, "#.00")</f>
        <v>1</v>
      </c>
      <c r="W40" s="65" t="b">
        <f>TEXT(导出!W38,"#.00")=TEXT(计算!W38, "#.00")</f>
        <v>1</v>
      </c>
      <c r="X40" s="65" t="b">
        <f>TEXT(导出!X38,"#.00")=TEXT(计算!X38, "#.00")</f>
        <v>1</v>
      </c>
      <c r="Y40" s="65" t="b">
        <f>TEXT(导出!Y38,"#.00")=TEXT(计算!Y38, "#.00")</f>
        <v>1</v>
      </c>
      <c r="Z40" s="65" t="b">
        <f>TEXT(导出!Z38,"#.00")=TEXT(计算!Z38, "#.00")</f>
        <v>1</v>
      </c>
      <c r="AA40" s="65" t="b">
        <f>TEXT(导出!AA38,"#.00")=TEXT(计算!AA38*100, "#.00")</f>
        <v>1</v>
      </c>
      <c r="AB40" s="65" t="b">
        <f>TEXT(导出!AB38,"#.00")=TEXT(计算!AB38, "#.00")</f>
        <v>1</v>
      </c>
      <c r="AC40" s="65" t="b">
        <f>TEXT(导出!AC38,"#.00")=TEXT(计算!AC38, "#.00")</f>
        <v>1</v>
      </c>
      <c r="AD40" s="65" t="b">
        <f>TEXT(导出!AD38,"#.00")=TEXT(计算!AD38, "#.00")</f>
        <v>1</v>
      </c>
      <c r="AE40" s="65" t="b">
        <f>ABS(导出!AE38-计算!AE38)&lt;10</f>
        <v>1</v>
      </c>
      <c r="AF40" s="65" t="b">
        <f>TEXT(ABS(导出!AF38),"#.00")=TEXT(ABS(计算!AF38), "#.00")</f>
        <v>1</v>
      </c>
      <c r="AG40" s="65" t="b">
        <f>TEXT(导出!AG38,"#.00")=TEXT(计算!AG38, "#.00")</f>
        <v>1</v>
      </c>
      <c r="AH40" s="65" t="b">
        <f>TEXT(导出!AH38,"#.00")=TEXT(计算!AH38, "#.00")</f>
        <v>1</v>
      </c>
      <c r="AI40">
        <v>0</v>
      </c>
      <c r="AJ40" s="3">
        <v>41912.686249999999</v>
      </c>
      <c r="AK40" s="2" t="s">
        <v>2215</v>
      </c>
    </row>
    <row r="41" spans="1:37" x14ac:dyDescent="0.15">
      <c r="A41" s="2" t="s">
        <v>2214</v>
      </c>
      <c r="B41">
        <v>496</v>
      </c>
      <c r="C41" s="3">
        <v>41039</v>
      </c>
      <c r="D41" s="2" t="s">
        <v>37</v>
      </c>
      <c r="E41" s="2" t="s">
        <v>2213</v>
      </c>
      <c r="F41" s="2" t="s">
        <v>38</v>
      </c>
      <c r="G41" s="2" t="s">
        <v>118</v>
      </c>
      <c r="H41" s="2" t="s">
        <v>119</v>
      </c>
      <c r="I41" s="65" t="b">
        <f>导出!I39=计算!I39</f>
        <v>1</v>
      </c>
      <c r="J41" s="65" t="b">
        <f>导出!J39=计算!J39</f>
        <v>1</v>
      </c>
      <c r="K41" s="65" t="b">
        <f>导出!K39=计算!K39</f>
        <v>1</v>
      </c>
      <c r="L41" s="65" t="b">
        <f>导出!L39=计算!L39</f>
        <v>1</v>
      </c>
      <c r="M41" s="65" t="b">
        <f>导出!M39=计算!M39</f>
        <v>1</v>
      </c>
      <c r="N41" s="65" t="b">
        <f>TEXT(导出!N39,"#.00")=TEXT(计算!N39, "#.00")</f>
        <v>1</v>
      </c>
      <c r="O41" s="65" t="b">
        <f>TEXT(导出!O39,"#.00")=TEXT(计算!O39, "#.00")</f>
        <v>1</v>
      </c>
      <c r="P41" s="65" t="b">
        <f>TEXT(导出!P39,"#.00")=TEXT(计算!P39, "#.00")</f>
        <v>1</v>
      </c>
      <c r="Q41" s="65" t="b">
        <f>TEXT(导出!Q39,"#.00")=TEXT(计算!Q39, "#.00")</f>
        <v>1</v>
      </c>
      <c r="R41" s="65" t="b">
        <f>TEXT(导出!R39,"#.00")=TEXT(计算!R39, "#.00")</f>
        <v>1</v>
      </c>
      <c r="S41" s="65" t="b">
        <f>TEXT(导出!S39,"#.00")=TEXT(计算!S39, "#.00")</f>
        <v>1</v>
      </c>
      <c r="T41" s="65" t="b">
        <f>TEXT(导出!T39,"#.00")=TEXT(计算!T39, "#.00")</f>
        <v>1</v>
      </c>
      <c r="U41" s="65" t="b">
        <f>TEXT(导出!U39,"#.00")=TEXT(计算!U39, "#.00")</f>
        <v>1</v>
      </c>
      <c r="V41" s="65" t="b">
        <f>TEXT(导出!V39,"#.00")=TEXT(计算!V39*100, "#.00")</f>
        <v>1</v>
      </c>
      <c r="W41" s="65" t="b">
        <f>TEXT(导出!W39,"#.00")=TEXT(计算!W39, "#.00")</f>
        <v>1</v>
      </c>
      <c r="X41" s="65" t="b">
        <f>TEXT(导出!X39,"#.00")=TEXT(计算!X39, "#.00")</f>
        <v>1</v>
      </c>
      <c r="Y41" s="65" t="b">
        <f>TEXT(导出!Y39,"#.00")=TEXT(计算!Y39, "#.00")</f>
        <v>1</v>
      </c>
      <c r="Z41" s="65" t="b">
        <f>TEXT(导出!Z39,"#.00")=TEXT(计算!Z39, "#.00")</f>
        <v>1</v>
      </c>
      <c r="AA41" s="65" t="b">
        <f>TEXT(导出!AA39,"#.00")=TEXT(计算!AA39*100, "#.00")</f>
        <v>1</v>
      </c>
      <c r="AB41" s="65" t="b">
        <f>TEXT(导出!AB39,"#.00")=TEXT(计算!AB39, "#.00")</f>
        <v>1</v>
      </c>
      <c r="AC41" s="65" t="b">
        <f>TEXT(导出!AC39,"#.00")=TEXT(计算!AC39, "#.00")</f>
        <v>1</v>
      </c>
      <c r="AD41" s="65" t="b">
        <f>TEXT(导出!AD39,"#.00")=TEXT(计算!AD39, "#.00")</f>
        <v>1</v>
      </c>
      <c r="AE41" s="65" t="b">
        <f>ABS(导出!AE39-计算!AE39)&lt;10</f>
        <v>1</v>
      </c>
      <c r="AF41" s="65" t="b">
        <f>TEXT(ABS(导出!AF39),"#.00")=TEXT(ABS(计算!AF39), "#.00")</f>
        <v>1</v>
      </c>
      <c r="AG41" s="65" t="b">
        <f>TEXT(导出!AG39,"#.00")=TEXT(计算!AG39, "#.00")</f>
        <v>1</v>
      </c>
      <c r="AH41" s="65" t="b">
        <f>TEXT(导出!AH39,"#.00")=TEXT(计算!AH39, "#.00")</f>
        <v>1</v>
      </c>
      <c r="AI41">
        <v>0</v>
      </c>
      <c r="AJ41" s="3">
        <v>41912.686249999999</v>
      </c>
      <c r="AK41" s="2" t="s">
        <v>2212</v>
      </c>
    </row>
    <row r="42" spans="1:37" x14ac:dyDescent="0.15">
      <c r="A42" s="2" t="s">
        <v>2211</v>
      </c>
      <c r="B42">
        <v>511</v>
      </c>
      <c r="C42" s="3">
        <v>41050</v>
      </c>
      <c r="D42" s="2" t="s">
        <v>37</v>
      </c>
      <c r="E42" s="2" t="s">
        <v>2210</v>
      </c>
      <c r="F42" s="2" t="s">
        <v>38</v>
      </c>
      <c r="G42" s="2" t="s">
        <v>120</v>
      </c>
      <c r="H42" s="2" t="s">
        <v>121</v>
      </c>
      <c r="I42" s="65" t="b">
        <f>导出!I40=计算!I40</f>
        <v>1</v>
      </c>
      <c r="J42" s="65" t="b">
        <f>导出!J40=计算!J40</f>
        <v>1</v>
      </c>
      <c r="K42" s="65" t="b">
        <f>导出!K40=计算!K40</f>
        <v>1</v>
      </c>
      <c r="L42" s="65" t="b">
        <f>导出!L40=计算!L40</f>
        <v>1</v>
      </c>
      <c r="M42" s="65" t="b">
        <f>导出!M40=计算!M40</f>
        <v>1</v>
      </c>
      <c r="N42" s="65" t="b">
        <f>TEXT(导出!N40,"#.00")=TEXT(计算!N40, "#.00")</f>
        <v>1</v>
      </c>
      <c r="O42" s="65" t="b">
        <f>TEXT(导出!O40,"#.00")=TEXT(计算!O40, "#.00")</f>
        <v>1</v>
      </c>
      <c r="P42" s="65" t="b">
        <f>TEXT(导出!P40,"#.00")=TEXT(计算!P40, "#.00")</f>
        <v>1</v>
      </c>
      <c r="Q42" s="65" t="b">
        <f>TEXT(导出!Q40,"#.00")=TEXT(计算!Q40, "#.00")</f>
        <v>1</v>
      </c>
      <c r="R42" s="65" t="b">
        <f>TEXT(导出!R40,"#.00")=TEXT(计算!R40, "#.00")</f>
        <v>1</v>
      </c>
      <c r="S42" s="65" t="b">
        <f>TEXT(导出!S40,"#.00")=TEXT(计算!S40, "#.00")</f>
        <v>1</v>
      </c>
      <c r="T42" s="65" t="b">
        <f>TEXT(导出!T40,"#.00")=TEXT(计算!T40, "#.00")</f>
        <v>1</v>
      </c>
      <c r="U42" s="65" t="b">
        <f>TEXT(导出!U40,"#.00")=TEXT(计算!U40, "#.00")</f>
        <v>1</v>
      </c>
      <c r="V42" s="65" t="b">
        <f>TEXT(导出!V40,"#.00")=TEXT(计算!V40*100, "#.00")</f>
        <v>1</v>
      </c>
      <c r="W42" s="65" t="b">
        <f>TEXT(导出!W40,"#.00")=TEXT(计算!W40, "#.00")</f>
        <v>1</v>
      </c>
      <c r="X42" s="65" t="b">
        <f>TEXT(导出!X40,"#.00")=TEXT(计算!X40, "#.00")</f>
        <v>1</v>
      </c>
      <c r="Y42" s="65" t="b">
        <f>TEXT(导出!Y40,"#.00")=TEXT(计算!Y40, "#.00")</f>
        <v>1</v>
      </c>
      <c r="Z42" s="65" t="b">
        <f>TEXT(导出!Z40,"#.00")=TEXT(计算!Z40, "#.00")</f>
        <v>1</v>
      </c>
      <c r="AA42" s="65" t="b">
        <f>TEXT(导出!AA40,"#.00")=TEXT(计算!AA40*100, "#.00")</f>
        <v>1</v>
      </c>
      <c r="AB42" s="65" t="b">
        <f>TEXT(导出!AB40,"#.00")=TEXT(计算!AB40, "#.00")</f>
        <v>1</v>
      </c>
      <c r="AC42" s="65" t="b">
        <f>TEXT(导出!AC40,"#.00")=TEXT(计算!AC40, "#.00")</f>
        <v>1</v>
      </c>
      <c r="AD42" s="65" t="b">
        <f>TEXT(导出!AD40,"#.00")=TEXT(计算!AD40, "#.00")</f>
        <v>1</v>
      </c>
      <c r="AE42" s="65" t="b">
        <f>ABS(导出!AE40-计算!AE40)&lt;10</f>
        <v>0</v>
      </c>
      <c r="AF42" s="65" t="b">
        <f>TEXT(ABS(导出!AF40),"#.00")=TEXT(ABS(计算!AF40), "#.00")</f>
        <v>1</v>
      </c>
      <c r="AG42" s="65" t="b">
        <f>TEXT(导出!AG40,"#.00")=TEXT(计算!AG40, "#.00")</f>
        <v>1</v>
      </c>
      <c r="AH42" s="65" t="b">
        <f>TEXT(导出!AH40,"#.00")=TEXT(计算!AH40, "#.00")</f>
        <v>1</v>
      </c>
      <c r="AI42">
        <v>0</v>
      </c>
      <c r="AJ42" s="3">
        <v>41912.686249999999</v>
      </c>
      <c r="AK42" s="2" t="s">
        <v>2209</v>
      </c>
    </row>
    <row r="43" spans="1:37" x14ac:dyDescent="0.15">
      <c r="A43" s="2" t="s">
        <v>2208</v>
      </c>
      <c r="B43">
        <v>50</v>
      </c>
      <c r="C43" s="3">
        <v>41061</v>
      </c>
      <c r="D43" s="2" t="s">
        <v>37</v>
      </c>
      <c r="E43" s="2" t="s">
        <v>2207</v>
      </c>
      <c r="F43" s="2" t="s">
        <v>41</v>
      </c>
      <c r="G43" s="2" t="s">
        <v>122</v>
      </c>
      <c r="H43" s="2" t="s">
        <v>123</v>
      </c>
      <c r="I43" s="65" t="b">
        <f>导出!I41=计算!I41</f>
        <v>1</v>
      </c>
      <c r="J43" s="65" t="b">
        <f>导出!J41=计算!J41</f>
        <v>1</v>
      </c>
      <c r="K43" s="65" t="b">
        <f>导出!K41=计算!K41</f>
        <v>1</v>
      </c>
      <c r="L43" s="65" t="b">
        <f>导出!L41=计算!L41</f>
        <v>1</v>
      </c>
      <c r="M43" s="65" t="b">
        <f>导出!M41=计算!M41</f>
        <v>1</v>
      </c>
      <c r="N43" s="65" t="b">
        <f>TEXT(导出!N41,"#.00")=TEXT(计算!N41, "#.00")</f>
        <v>1</v>
      </c>
      <c r="O43" s="65" t="b">
        <f>TEXT(导出!O41,"#.00")=TEXT(计算!O41, "#.00")</f>
        <v>1</v>
      </c>
      <c r="P43" s="65" t="b">
        <f>TEXT(导出!P41,"#.00")=TEXT(计算!P41, "#.00")</f>
        <v>1</v>
      </c>
      <c r="Q43" s="65" t="b">
        <f>TEXT(导出!Q41,"#.00")=TEXT(计算!Q41, "#.00")</f>
        <v>1</v>
      </c>
      <c r="R43" s="65" t="b">
        <f>TEXT(导出!R41,"#.00")=TEXT(计算!R41, "#.00")</f>
        <v>1</v>
      </c>
      <c r="S43" s="65" t="b">
        <f>TEXT(导出!S41,"#.00")=TEXT(计算!S41, "#.00")</f>
        <v>1</v>
      </c>
      <c r="T43" s="65" t="b">
        <f>TEXT(导出!T41,"#.00")=TEXT(计算!T41, "#.00")</f>
        <v>1</v>
      </c>
      <c r="U43" s="65" t="b">
        <f>TEXT(导出!U41,"#.00")=TEXT(计算!U41, "#.00")</f>
        <v>1</v>
      </c>
      <c r="V43" s="65" t="b">
        <f>TEXT(导出!V41,"#.00")=TEXT(计算!V41*100, "#.00")</f>
        <v>1</v>
      </c>
      <c r="W43" s="65" t="b">
        <f>TEXT(导出!W41,"#.00")=TEXT(计算!W41, "#.00")</f>
        <v>1</v>
      </c>
      <c r="X43" s="65" t="b">
        <f>TEXT(导出!X41,"#.00")=TEXT(计算!X41, "#.00")</f>
        <v>1</v>
      </c>
      <c r="Y43" s="65" t="b">
        <f>TEXT(导出!Y41,"#.00")=TEXT(计算!Y41, "#.00")</f>
        <v>1</v>
      </c>
      <c r="Z43" s="65" t="b">
        <f>TEXT(导出!Z41,"#.00")=TEXT(计算!Z41, "#.00")</f>
        <v>1</v>
      </c>
      <c r="AA43" s="65" t="b">
        <f>TEXT(导出!AA41,"#.00")=TEXT(计算!AA41*100, "#.00")</f>
        <v>1</v>
      </c>
      <c r="AB43" s="65" t="b">
        <f>TEXT(导出!AB41,"#.00")=TEXT(计算!AB41, "#.00")</f>
        <v>1</v>
      </c>
      <c r="AC43" s="65" t="b">
        <f>TEXT(导出!AC41,"#.00")=TEXT(计算!AC41, "#.00")</f>
        <v>1</v>
      </c>
      <c r="AD43" s="65" t="b">
        <f>TEXT(导出!AD41,"#.00")=TEXT(计算!AD41, "#.00")</f>
        <v>1</v>
      </c>
      <c r="AE43" s="65" t="b">
        <f>ABS(导出!AE41-计算!AE41)&lt;10</f>
        <v>1</v>
      </c>
      <c r="AF43" s="65" t="b">
        <f>TEXT(ABS(导出!AF41),"#.00")=TEXT(ABS(计算!AF41), "#.00")</f>
        <v>1</v>
      </c>
      <c r="AG43" s="65" t="b">
        <f>TEXT(导出!AG41,"#.00")=TEXT(计算!AG41, "#.00")</f>
        <v>1</v>
      </c>
      <c r="AH43" s="65" t="b">
        <f>TEXT(导出!AH41,"#.00")=TEXT(计算!AH41, "#.00")</f>
        <v>1</v>
      </c>
      <c r="AI43">
        <v>0</v>
      </c>
      <c r="AJ43" s="3">
        <v>41912.6862384259</v>
      </c>
      <c r="AK43" s="2" t="s">
        <v>2206</v>
      </c>
    </row>
    <row r="44" spans="1:37" x14ac:dyDescent="0.15">
      <c r="A44" s="2" t="s">
        <v>2205</v>
      </c>
      <c r="B44">
        <v>528</v>
      </c>
      <c r="C44" s="3">
        <v>41073</v>
      </c>
      <c r="D44" s="2" t="s">
        <v>37</v>
      </c>
      <c r="E44" s="2" t="s">
        <v>2204</v>
      </c>
      <c r="F44" s="2" t="s">
        <v>38</v>
      </c>
      <c r="G44" s="2" t="s">
        <v>124</v>
      </c>
      <c r="H44" s="2" t="s">
        <v>125</v>
      </c>
      <c r="I44" s="65" t="b">
        <f>导出!I42=计算!I42</f>
        <v>1</v>
      </c>
      <c r="J44" s="65" t="b">
        <f>导出!J42=计算!J42</f>
        <v>1</v>
      </c>
      <c r="K44" s="65" t="b">
        <f>导出!K42=计算!K42</f>
        <v>1</v>
      </c>
      <c r="L44" s="65" t="b">
        <f>导出!L42=计算!L42</f>
        <v>1</v>
      </c>
      <c r="M44" s="65" t="b">
        <f>导出!M42=计算!M42</f>
        <v>1</v>
      </c>
      <c r="N44" s="65" t="b">
        <f>TEXT(导出!N42,"#.00")=TEXT(计算!N42, "#.00")</f>
        <v>1</v>
      </c>
      <c r="O44" s="65" t="b">
        <f>TEXT(导出!O42,"#.00")=TEXT(计算!O42, "#.00")</f>
        <v>1</v>
      </c>
      <c r="P44" s="65" t="b">
        <f>TEXT(导出!P42,"#.00")=TEXT(计算!P42, "#.00")</f>
        <v>1</v>
      </c>
      <c r="Q44" s="65" t="b">
        <f>TEXT(导出!Q42,"#.00")=TEXT(计算!Q42, "#.00")</f>
        <v>0</v>
      </c>
      <c r="R44" s="65" t="b">
        <f>TEXT(导出!R42,"#.00")=TEXT(计算!R42, "#.00")</f>
        <v>1</v>
      </c>
      <c r="S44" s="65" t="b">
        <f>TEXT(导出!S42,"#.00")=TEXT(计算!S42, "#.00")</f>
        <v>1</v>
      </c>
      <c r="T44" s="65" t="b">
        <f>TEXT(导出!T42,"#.00")=TEXT(计算!T42, "#.00")</f>
        <v>1</v>
      </c>
      <c r="U44" s="65" t="b">
        <f>TEXT(导出!U42,"#.00")=TEXT(计算!U42, "#.00")</f>
        <v>1</v>
      </c>
      <c r="V44" s="65" t="b">
        <f>TEXT(导出!V42,"#.00")=TEXT(计算!V42*100, "#.00")</f>
        <v>1</v>
      </c>
      <c r="W44" s="65" t="b">
        <f>TEXT(导出!W42,"#.00")=TEXT(计算!W42, "#.00")</f>
        <v>1</v>
      </c>
      <c r="X44" s="65" t="b">
        <f>TEXT(导出!X42,"#.00")=TEXT(计算!X42, "#.00")</f>
        <v>1</v>
      </c>
      <c r="Y44" s="65" t="b">
        <f>TEXT(导出!Y42,"#.00")=TEXT(计算!Y42, "#.00")</f>
        <v>1</v>
      </c>
      <c r="Z44" s="65" t="b">
        <f>TEXT(导出!Z42,"#.00")=TEXT(计算!Z42, "#.00")</f>
        <v>1</v>
      </c>
      <c r="AA44" s="65" t="b">
        <f>TEXT(导出!AA42,"#.00")=TEXT(计算!AA42*100, "#.00")</f>
        <v>1</v>
      </c>
      <c r="AB44" s="65" t="b">
        <f>TEXT(导出!AB42,"#.00")=TEXT(计算!AB42, "#.00")</f>
        <v>1</v>
      </c>
      <c r="AC44" s="65" t="b">
        <f>TEXT(导出!AC42,"#.00")=TEXT(计算!AC42, "#.00")</f>
        <v>1</v>
      </c>
      <c r="AD44" s="65" t="b">
        <f>TEXT(导出!AD42,"#.00")=TEXT(计算!AD42, "#.00")</f>
        <v>1</v>
      </c>
      <c r="AE44" s="65" t="b">
        <f>ABS(导出!AE42-计算!AE42)&lt;10</f>
        <v>1</v>
      </c>
      <c r="AF44" s="65" t="b">
        <f>TEXT(ABS(导出!AF42),"#.00")=TEXT(ABS(计算!AF42), "#.00")</f>
        <v>1</v>
      </c>
      <c r="AG44" s="65" t="b">
        <f>TEXT(导出!AG42,"#.00")=TEXT(计算!AG42, "#.00")</f>
        <v>1</v>
      </c>
      <c r="AH44" s="65" t="b">
        <f>TEXT(导出!AH42,"#.00")=TEXT(计算!AH42, "#.00")</f>
        <v>1</v>
      </c>
      <c r="AI44">
        <v>0</v>
      </c>
      <c r="AJ44" s="3">
        <v>41912.686249999999</v>
      </c>
      <c r="AK44" s="2" t="s">
        <v>2203</v>
      </c>
    </row>
    <row r="45" spans="1:37" x14ac:dyDescent="0.15">
      <c r="A45" s="2" t="s">
        <v>2202</v>
      </c>
      <c r="B45">
        <v>54</v>
      </c>
      <c r="C45" s="3">
        <v>41091</v>
      </c>
      <c r="D45" s="2" t="s">
        <v>37</v>
      </c>
      <c r="E45" s="2" t="s">
        <v>2201</v>
      </c>
      <c r="F45" s="2" t="s">
        <v>41</v>
      </c>
      <c r="G45" s="2" t="s">
        <v>127</v>
      </c>
      <c r="H45" s="2" t="s">
        <v>128</v>
      </c>
      <c r="I45" s="65" t="b">
        <f>导出!I43=计算!I43</f>
        <v>1</v>
      </c>
      <c r="J45" s="65" t="b">
        <f>导出!J43=计算!J43</f>
        <v>1</v>
      </c>
      <c r="K45" s="65" t="b">
        <f>导出!K43=计算!K43</f>
        <v>1</v>
      </c>
      <c r="L45" s="65" t="b">
        <f>导出!L43=计算!L43</f>
        <v>1</v>
      </c>
      <c r="M45" s="65" t="b">
        <f>导出!M43=计算!M43</f>
        <v>1</v>
      </c>
      <c r="N45" s="65" t="b">
        <f>TEXT(导出!N43,"#.00")=TEXT(计算!N43, "#.00")</f>
        <v>1</v>
      </c>
      <c r="O45" s="65" t="b">
        <f>TEXT(导出!O43,"#.00")=TEXT(计算!O43, "#.00")</f>
        <v>1</v>
      </c>
      <c r="P45" s="65" t="b">
        <f>TEXT(导出!P43,"#.00")=TEXT(计算!P43, "#.00")</f>
        <v>1</v>
      </c>
      <c r="Q45" s="65" t="b">
        <f>TEXT(导出!Q43,"#.00")=TEXT(计算!Q43, "#.00")</f>
        <v>1</v>
      </c>
      <c r="R45" s="65" t="b">
        <f>TEXT(导出!R43,"#.00")=TEXT(计算!R43, "#.00")</f>
        <v>1</v>
      </c>
      <c r="S45" s="65" t="b">
        <f>TEXT(导出!S43,"#.00")=TEXT(计算!S43, "#.00")</f>
        <v>1</v>
      </c>
      <c r="T45" s="65" t="b">
        <f>TEXT(导出!T43,"#.00")=TEXT(计算!T43, "#.00")</f>
        <v>1</v>
      </c>
      <c r="U45" s="65" t="b">
        <f>TEXT(导出!U43,"#.00")=TEXT(计算!U43, "#.00")</f>
        <v>1</v>
      </c>
      <c r="V45" s="65" t="b">
        <f>TEXT(导出!V43,"#.00")=TEXT(计算!V43*100, "#.00")</f>
        <v>1</v>
      </c>
      <c r="W45" s="65" t="b">
        <f>TEXT(导出!W43,"#.00")=TEXT(计算!W43, "#.00")</f>
        <v>1</v>
      </c>
      <c r="X45" s="65" t="b">
        <f>TEXT(导出!X43,"#.00")=TEXT(计算!X43, "#.00")</f>
        <v>1</v>
      </c>
      <c r="Y45" s="65" t="b">
        <f>TEXT(导出!Y43,"#.00")=TEXT(计算!Y43, "#.00")</f>
        <v>1</v>
      </c>
      <c r="Z45" s="65" t="b">
        <f>TEXT(导出!Z43,"#.00")=TEXT(计算!Z43, "#.00")</f>
        <v>1</v>
      </c>
      <c r="AA45" s="65" t="b">
        <f>TEXT(导出!AA43,"#.00")=TEXT(计算!AA43*100, "#.00")</f>
        <v>1</v>
      </c>
      <c r="AB45" s="65" t="b">
        <f>TEXT(导出!AB43,"#.00")=TEXT(计算!AB43, "#.00")</f>
        <v>1</v>
      </c>
      <c r="AC45" s="65" t="b">
        <f>TEXT(导出!AC43,"#.00")=TEXT(计算!AC43, "#.00")</f>
        <v>1</v>
      </c>
      <c r="AD45" s="65" t="b">
        <f>TEXT(导出!AD43,"#.00")=TEXT(计算!AD43, "#.00")</f>
        <v>1</v>
      </c>
      <c r="AE45" s="65" t="b">
        <f>ABS(导出!AE43-计算!AE43)&lt;10</f>
        <v>1</v>
      </c>
      <c r="AF45" s="65" t="b">
        <f>TEXT(ABS(导出!AF43),"#.00")=TEXT(ABS(计算!AF43), "#.00")</f>
        <v>1</v>
      </c>
      <c r="AG45" s="65" t="b">
        <f>TEXT(导出!AG43,"#.00")=TEXT(计算!AG43, "#.00")</f>
        <v>1</v>
      </c>
      <c r="AH45" s="65" t="b">
        <f>TEXT(导出!AH43,"#.00")=TEXT(计算!AH43, "#.00")</f>
        <v>1</v>
      </c>
      <c r="AI45">
        <v>0</v>
      </c>
      <c r="AJ45" s="3">
        <v>41912.6862384259</v>
      </c>
      <c r="AK45" s="2" t="s">
        <v>2200</v>
      </c>
    </row>
    <row r="46" spans="1:37" x14ac:dyDescent="0.15">
      <c r="A46" s="2" t="s">
        <v>2199</v>
      </c>
      <c r="B46">
        <v>561</v>
      </c>
      <c r="C46" s="3">
        <v>41091</v>
      </c>
      <c r="D46" s="2" t="s">
        <v>37</v>
      </c>
      <c r="E46" s="2" t="s">
        <v>2198</v>
      </c>
      <c r="F46" s="2" t="s">
        <v>38</v>
      </c>
      <c r="G46" s="2" t="s">
        <v>126</v>
      </c>
      <c r="H46" s="2" t="s">
        <v>75</v>
      </c>
      <c r="I46" s="65" t="b">
        <f>导出!I44=计算!I44</f>
        <v>1</v>
      </c>
      <c r="J46" s="65" t="b">
        <f>导出!J44=计算!J44</f>
        <v>1</v>
      </c>
      <c r="K46" s="65" t="b">
        <f>导出!K44=计算!K44</f>
        <v>1</v>
      </c>
      <c r="L46" s="65" t="b">
        <f>导出!L44=计算!L44</f>
        <v>1</v>
      </c>
      <c r="M46" s="65" t="b">
        <f>导出!M44=计算!M44</f>
        <v>1</v>
      </c>
      <c r="N46" s="65" t="b">
        <f>TEXT(导出!N44,"#.00")=TEXT(计算!N44, "#.00")</f>
        <v>1</v>
      </c>
      <c r="O46" s="65" t="b">
        <f>TEXT(导出!O44,"#.00")=TEXT(计算!O44, "#.00")</f>
        <v>1</v>
      </c>
      <c r="P46" s="65" t="b">
        <f>TEXT(导出!P44,"#.00")=TEXT(计算!P44, "#.00")</f>
        <v>1</v>
      </c>
      <c r="Q46" s="65" t="b">
        <f>TEXT(导出!Q44,"#.00")=TEXT(计算!Q44, "#.00")</f>
        <v>1</v>
      </c>
      <c r="R46" s="65" t="b">
        <f>TEXT(导出!R44,"#.00")=TEXT(计算!R44, "#.00")</f>
        <v>1</v>
      </c>
      <c r="S46" s="65" t="b">
        <f>TEXT(导出!S44,"#.00")=TEXT(计算!S44, "#.00")</f>
        <v>1</v>
      </c>
      <c r="T46" s="65" t="b">
        <f>TEXT(导出!T44,"#.00")=TEXT(计算!T44, "#.00")</f>
        <v>1</v>
      </c>
      <c r="U46" s="65" t="b">
        <f>TEXT(导出!U44,"#.00")=TEXT(计算!U44, "#.00")</f>
        <v>1</v>
      </c>
      <c r="V46" s="65" t="b">
        <f>TEXT(导出!V44,"#.00")=TEXT(计算!V44*100, "#.00")</f>
        <v>1</v>
      </c>
      <c r="W46" s="65" t="b">
        <f>TEXT(导出!W44,"#.00")=TEXT(计算!W44, "#.00")</f>
        <v>1</v>
      </c>
      <c r="X46" s="65" t="b">
        <f>TEXT(导出!X44,"#.00")=TEXT(计算!X44, "#.00")</f>
        <v>1</v>
      </c>
      <c r="Y46" s="65" t="b">
        <f>TEXT(导出!Y44,"#.00")=TEXT(计算!Y44, "#.00")</f>
        <v>1</v>
      </c>
      <c r="Z46" s="65" t="b">
        <f>TEXT(导出!Z44,"#.00")=TEXT(计算!Z44, "#.00")</f>
        <v>1</v>
      </c>
      <c r="AA46" s="65" t="b">
        <f>TEXT(导出!AA44,"#.00")=TEXT(计算!AA44*100, "#.00")</f>
        <v>1</v>
      </c>
      <c r="AB46" s="65" t="b">
        <f>TEXT(导出!AB44,"#.00")=TEXT(计算!AB44, "#.00")</f>
        <v>1</v>
      </c>
      <c r="AC46" s="65" t="b">
        <f>TEXT(导出!AC44,"#.00")=TEXT(计算!AC44, "#.00")</f>
        <v>1</v>
      </c>
      <c r="AD46" s="65" t="b">
        <f>TEXT(导出!AD44,"#.00")=TEXT(计算!AD44, "#.00")</f>
        <v>1</v>
      </c>
      <c r="AE46" s="65" t="b">
        <f>ABS(导出!AE44-计算!AE44)&lt;10</f>
        <v>1</v>
      </c>
      <c r="AF46" s="65" t="b">
        <f>TEXT(ABS(导出!AF44),"#.00")=TEXT(ABS(计算!AF44), "#.00")</f>
        <v>1</v>
      </c>
      <c r="AG46" s="65" t="b">
        <f>TEXT(导出!AG44,"#.00")=TEXT(计算!AG44, "#.00")</f>
        <v>1</v>
      </c>
      <c r="AH46" s="65" t="b">
        <f>TEXT(导出!AH44,"#.00")=TEXT(计算!AH44, "#.00")</f>
        <v>1</v>
      </c>
      <c r="AI46">
        <v>0</v>
      </c>
      <c r="AJ46" s="3">
        <v>41912.686249999999</v>
      </c>
      <c r="AK46" s="2" t="s">
        <v>2197</v>
      </c>
    </row>
    <row r="47" spans="1:37" x14ac:dyDescent="0.15">
      <c r="A47" s="2" t="s">
        <v>2196</v>
      </c>
      <c r="B47">
        <v>569</v>
      </c>
      <c r="C47" s="3">
        <v>41091</v>
      </c>
      <c r="D47" s="2" t="s">
        <v>37</v>
      </c>
      <c r="E47" s="2" t="s">
        <v>2195</v>
      </c>
      <c r="F47" s="2" t="s">
        <v>38</v>
      </c>
      <c r="G47" s="2" t="s">
        <v>131</v>
      </c>
      <c r="H47" s="2" t="s">
        <v>132</v>
      </c>
      <c r="I47" s="65" t="b">
        <f>导出!I45=计算!I45</f>
        <v>1</v>
      </c>
      <c r="J47" s="65" t="b">
        <f>导出!J45=计算!J45</f>
        <v>1</v>
      </c>
      <c r="K47" s="65" t="b">
        <f>导出!K45=计算!K45</f>
        <v>1</v>
      </c>
      <c r="L47" s="65" t="b">
        <f>导出!L45=计算!L45</f>
        <v>1</v>
      </c>
      <c r="M47" s="65" t="b">
        <f>导出!M45=计算!M45</f>
        <v>1</v>
      </c>
      <c r="N47" s="65" t="b">
        <f>TEXT(导出!N45,"#.00")=TEXT(计算!N45, "#.00")</f>
        <v>1</v>
      </c>
      <c r="O47" s="65" t="b">
        <f>TEXT(导出!O45,"#.00")=TEXT(计算!O45, "#.00")</f>
        <v>1</v>
      </c>
      <c r="P47" s="65" t="b">
        <f>TEXT(导出!P45,"#.00")=TEXT(计算!P45, "#.00")</f>
        <v>1</v>
      </c>
      <c r="Q47" s="65" t="b">
        <f>TEXT(导出!Q45,"#.00")=TEXT(计算!Q45, "#.00")</f>
        <v>0</v>
      </c>
      <c r="R47" s="65" t="b">
        <f>TEXT(导出!R45,"#.00")=TEXT(计算!R45, "#.00")</f>
        <v>1</v>
      </c>
      <c r="S47" s="65" t="b">
        <f>TEXT(导出!S45,"#.00")=TEXT(计算!S45, "#.00")</f>
        <v>1</v>
      </c>
      <c r="T47" s="65" t="b">
        <f>TEXT(导出!T45,"#.00")=TEXT(计算!T45, "#.00")</f>
        <v>1</v>
      </c>
      <c r="U47" s="65" t="b">
        <f>TEXT(导出!U45,"#.00")=TEXT(计算!U45, "#.00")</f>
        <v>1</v>
      </c>
      <c r="V47" s="65" t="b">
        <f>TEXT(导出!V45,"#.00")=TEXT(计算!V45*100, "#.00")</f>
        <v>1</v>
      </c>
      <c r="W47" s="65" t="b">
        <f>TEXT(导出!W45,"#.00")=TEXT(计算!W45, "#.00")</f>
        <v>1</v>
      </c>
      <c r="X47" s="65" t="b">
        <f>TEXT(导出!X45,"#.00")=TEXT(计算!X45, "#.00")</f>
        <v>1</v>
      </c>
      <c r="Y47" s="65" t="b">
        <f>TEXT(导出!Y45,"#.00")=TEXT(计算!Y45, "#.00")</f>
        <v>1</v>
      </c>
      <c r="Z47" s="65" t="b">
        <f>TEXT(导出!Z45,"#.00")=TEXT(计算!Z45, "#.00")</f>
        <v>1</v>
      </c>
      <c r="AA47" s="65" t="b">
        <f>TEXT(导出!AA45,"#.00")=TEXT(计算!AA45*100, "#.00")</f>
        <v>1</v>
      </c>
      <c r="AB47" s="65" t="b">
        <f>TEXT(导出!AB45,"#.00")=TEXT(计算!AB45, "#.00")</f>
        <v>1</v>
      </c>
      <c r="AC47" s="65" t="b">
        <f>TEXT(导出!AC45,"#.00")=TEXT(计算!AC45, "#.00")</f>
        <v>1</v>
      </c>
      <c r="AD47" s="65" t="b">
        <f>TEXT(导出!AD45,"#.00")=TEXT(计算!AD45, "#.00")</f>
        <v>1</v>
      </c>
      <c r="AE47" s="65" t="b">
        <f>ABS(导出!AE45-计算!AE45)&lt;10</f>
        <v>1</v>
      </c>
      <c r="AF47" s="65" t="b">
        <f>TEXT(ABS(导出!AF45),"#.00")=TEXT(ABS(计算!AF45), "#.00")</f>
        <v>1</v>
      </c>
      <c r="AG47" s="65" t="b">
        <f>TEXT(导出!AG45,"#.00")=TEXT(计算!AG45, "#.00")</f>
        <v>1</v>
      </c>
      <c r="AH47" s="65" t="b">
        <f>TEXT(导出!AH45,"#.00")=TEXT(计算!AH45, "#.00")</f>
        <v>1</v>
      </c>
      <c r="AI47">
        <v>0</v>
      </c>
      <c r="AJ47" s="3">
        <v>41912.686249999999</v>
      </c>
      <c r="AK47" s="2" t="s">
        <v>2194</v>
      </c>
    </row>
    <row r="48" spans="1:37" x14ac:dyDescent="0.15">
      <c r="A48" s="2" t="s">
        <v>2193</v>
      </c>
      <c r="B48">
        <v>545</v>
      </c>
      <c r="C48" s="3">
        <v>41091</v>
      </c>
      <c r="D48" s="2" t="s">
        <v>37</v>
      </c>
      <c r="E48" s="2" t="s">
        <v>2192</v>
      </c>
      <c r="F48" s="2" t="s">
        <v>38</v>
      </c>
      <c r="G48" s="2" t="s">
        <v>129</v>
      </c>
      <c r="H48" s="2" t="s">
        <v>130</v>
      </c>
      <c r="I48" s="65" t="b">
        <f>导出!I46=计算!I46</f>
        <v>1</v>
      </c>
      <c r="J48" s="65" t="b">
        <f>导出!J46=计算!J46</f>
        <v>1</v>
      </c>
      <c r="K48" s="65" t="b">
        <f>导出!K46=计算!K46</f>
        <v>1</v>
      </c>
      <c r="L48" s="65" t="b">
        <f>导出!L46=计算!L46</f>
        <v>1</v>
      </c>
      <c r="M48" s="65" t="b">
        <f>导出!M46=计算!M46</f>
        <v>1</v>
      </c>
      <c r="N48" s="65" t="b">
        <f>TEXT(导出!N46,"#.00")=TEXT(计算!N46, "#.00")</f>
        <v>1</v>
      </c>
      <c r="O48" s="65" t="b">
        <f>TEXT(导出!O46,"#.00")=TEXT(计算!O46, "#.00")</f>
        <v>1</v>
      </c>
      <c r="P48" s="65" t="b">
        <f>TEXT(导出!P46,"#.00")=TEXT(计算!P46, "#.00")</f>
        <v>1</v>
      </c>
      <c r="Q48" s="65" t="b">
        <f>TEXT(导出!Q46,"#.00")=TEXT(计算!Q46, "#.00")</f>
        <v>1</v>
      </c>
      <c r="R48" s="65" t="b">
        <f>TEXT(导出!R46,"#.00")=TEXT(计算!R46, "#.00")</f>
        <v>1</v>
      </c>
      <c r="S48" s="65" t="b">
        <f>TEXT(导出!S46,"#.00")=TEXT(计算!S46, "#.00")</f>
        <v>1</v>
      </c>
      <c r="T48" s="65" t="b">
        <f>TEXT(导出!T46,"#.00")=TEXT(计算!T46, "#.00")</f>
        <v>1</v>
      </c>
      <c r="U48" s="65" t="b">
        <f>TEXT(导出!U46,"#.00")=TEXT(计算!U46, "#.00")</f>
        <v>1</v>
      </c>
      <c r="V48" s="65" t="b">
        <f>TEXT(导出!V46,"#.00")=TEXT(计算!V46*100, "#.00")</f>
        <v>1</v>
      </c>
      <c r="W48" s="65" t="b">
        <f>TEXT(导出!W46,"#.00")=TEXT(计算!W46, "#.00")</f>
        <v>1</v>
      </c>
      <c r="X48" s="65" t="b">
        <f>TEXT(导出!X46,"#.00")=TEXT(计算!X46, "#.00")</f>
        <v>1</v>
      </c>
      <c r="Y48" s="65" t="b">
        <f>TEXT(导出!Y46,"#.00")=TEXT(计算!Y46, "#.00")</f>
        <v>1</v>
      </c>
      <c r="Z48" s="65" t="b">
        <f>TEXT(导出!Z46,"#.00")=TEXT(计算!Z46, "#.00")</f>
        <v>1</v>
      </c>
      <c r="AA48" s="65" t="b">
        <f>TEXT(导出!AA46,"#.00")=TEXT(计算!AA46*100, "#.00")</f>
        <v>1</v>
      </c>
      <c r="AB48" s="65" t="b">
        <f>TEXT(导出!AB46,"#.00")=TEXT(计算!AB46, "#.00")</f>
        <v>1</v>
      </c>
      <c r="AC48" s="65" t="b">
        <f>TEXT(导出!AC46,"#.00")=TEXT(计算!AC46, "#.00")</f>
        <v>1</v>
      </c>
      <c r="AD48" s="65" t="b">
        <f>TEXT(导出!AD46,"#.00")=TEXT(计算!AD46, "#.00")</f>
        <v>1</v>
      </c>
      <c r="AE48" s="65" t="b">
        <f>ABS(导出!AE46-计算!AE46)&lt;10</f>
        <v>1</v>
      </c>
      <c r="AF48" s="65" t="b">
        <f>TEXT(ABS(导出!AF46),"#.00")=TEXT(ABS(计算!AF46), "#.00")</f>
        <v>1</v>
      </c>
      <c r="AG48" s="65" t="b">
        <f>TEXT(导出!AG46,"#.00")=TEXT(计算!AG46, "#.00")</f>
        <v>1</v>
      </c>
      <c r="AH48" s="65" t="b">
        <f>TEXT(导出!AH46,"#.00")=TEXT(计算!AH46, "#.00")</f>
        <v>1</v>
      </c>
      <c r="AI48">
        <v>0</v>
      </c>
      <c r="AJ48" s="3">
        <v>41912.686249999999</v>
      </c>
      <c r="AK48" s="2" t="s">
        <v>2191</v>
      </c>
    </row>
    <row r="49" spans="1:37" x14ac:dyDescent="0.15">
      <c r="A49" s="2" t="s">
        <v>2190</v>
      </c>
      <c r="B49">
        <v>536</v>
      </c>
      <c r="C49" s="3">
        <v>41092</v>
      </c>
      <c r="D49" s="2" t="s">
        <v>37</v>
      </c>
      <c r="E49" s="2" t="s">
        <v>2189</v>
      </c>
      <c r="F49" s="2" t="s">
        <v>38</v>
      </c>
      <c r="G49" s="2" t="s">
        <v>133</v>
      </c>
      <c r="H49" s="2" t="s">
        <v>134</v>
      </c>
      <c r="I49" s="65" t="b">
        <f>导出!I47=计算!I47</f>
        <v>1</v>
      </c>
      <c r="J49" s="65" t="b">
        <f>导出!J47=计算!J47</f>
        <v>1</v>
      </c>
      <c r="K49" s="65" t="b">
        <f>导出!K47=计算!K47</f>
        <v>1</v>
      </c>
      <c r="L49" s="65" t="b">
        <f>导出!L47=计算!L47</f>
        <v>1</v>
      </c>
      <c r="M49" s="65" t="b">
        <f>导出!M47=计算!M47</f>
        <v>1</v>
      </c>
      <c r="N49" s="65" t="b">
        <f>TEXT(导出!N47,"#.00")=TEXT(计算!N47, "#.00")</f>
        <v>1</v>
      </c>
      <c r="O49" s="65" t="b">
        <f>TEXT(导出!O47,"#.00")=TEXT(计算!O47, "#.00")</f>
        <v>1</v>
      </c>
      <c r="P49" s="65" t="b">
        <f>TEXT(导出!P47,"#.00")=TEXT(计算!P47, "#.00")</f>
        <v>1</v>
      </c>
      <c r="Q49" s="65" t="b">
        <f>TEXT(导出!Q47,"#.00")=TEXT(计算!Q47, "#.00")</f>
        <v>0</v>
      </c>
      <c r="R49" s="65" t="b">
        <f>TEXT(导出!R47,"#.00")=TEXT(计算!R47, "#.00")</f>
        <v>1</v>
      </c>
      <c r="S49" s="65" t="b">
        <f>TEXT(导出!S47,"#.00")=TEXT(计算!S47, "#.00")</f>
        <v>1</v>
      </c>
      <c r="T49" s="65" t="b">
        <f>TEXT(导出!T47,"#.00")=TEXT(计算!T47, "#.00")</f>
        <v>1</v>
      </c>
      <c r="U49" s="65" t="b">
        <f>TEXT(导出!U47,"#.00")=TEXT(计算!U47, "#.00")</f>
        <v>1</v>
      </c>
      <c r="V49" s="65" t="b">
        <f>TEXT(导出!V47,"#.00")=TEXT(计算!V47*100, "#.00")</f>
        <v>1</v>
      </c>
      <c r="W49" s="65" t="b">
        <f>TEXT(导出!W47,"#.00")=TEXT(计算!W47, "#.00")</f>
        <v>1</v>
      </c>
      <c r="X49" s="65" t="b">
        <f>TEXT(导出!X47,"#.00")=TEXT(计算!X47, "#.00")</f>
        <v>1</v>
      </c>
      <c r="Y49" s="65" t="b">
        <f>TEXT(导出!Y47,"#.00")=TEXT(计算!Y47, "#.00")</f>
        <v>1</v>
      </c>
      <c r="Z49" s="65" t="b">
        <f>TEXT(导出!Z47,"#.00")=TEXT(计算!Z47, "#.00")</f>
        <v>1</v>
      </c>
      <c r="AA49" s="65" t="b">
        <f>TEXT(导出!AA47,"#.00")=TEXT(计算!AA47*100, "#.00")</f>
        <v>1</v>
      </c>
      <c r="AB49" s="65" t="b">
        <f>TEXT(导出!AB47,"#.00")=TEXT(计算!AB47, "#.00")</f>
        <v>1</v>
      </c>
      <c r="AC49" s="65" t="b">
        <f>TEXT(导出!AC47,"#.00")=TEXT(计算!AC47, "#.00")</f>
        <v>1</v>
      </c>
      <c r="AD49" s="65" t="b">
        <f>TEXT(导出!AD47,"#.00")=TEXT(计算!AD47, "#.00")</f>
        <v>1</v>
      </c>
      <c r="AE49" s="65" t="b">
        <f>ABS(导出!AE47-计算!AE47)&lt;10</f>
        <v>1</v>
      </c>
      <c r="AF49" s="65" t="b">
        <f>TEXT(ABS(导出!AF47),"#.00")=TEXT(ABS(计算!AF47), "#.00")</f>
        <v>1</v>
      </c>
      <c r="AG49" s="65" t="b">
        <f>TEXT(导出!AG47,"#.00")=TEXT(计算!AG47, "#.00")</f>
        <v>1</v>
      </c>
      <c r="AH49" s="65" t="b">
        <f>TEXT(导出!AH47,"#.00")=TEXT(计算!AH47, "#.00")</f>
        <v>1</v>
      </c>
      <c r="AI49">
        <v>0</v>
      </c>
      <c r="AJ49" s="3">
        <v>41912.686249999999</v>
      </c>
      <c r="AK49" s="2" t="s">
        <v>2188</v>
      </c>
    </row>
    <row r="50" spans="1:37" x14ac:dyDescent="0.15">
      <c r="A50" s="2" t="s">
        <v>2187</v>
      </c>
      <c r="B50">
        <v>578</v>
      </c>
      <c r="C50" s="3">
        <v>41108</v>
      </c>
      <c r="D50" s="2" t="s">
        <v>37</v>
      </c>
      <c r="E50" s="2" t="s">
        <v>2186</v>
      </c>
      <c r="F50" s="2" t="s">
        <v>38</v>
      </c>
      <c r="G50" s="2" t="s">
        <v>135</v>
      </c>
      <c r="H50" s="2" t="s">
        <v>136</v>
      </c>
      <c r="I50" s="65" t="b">
        <f>导出!I48=计算!I48</f>
        <v>1</v>
      </c>
      <c r="J50" s="65" t="b">
        <f>导出!J48=计算!J48</f>
        <v>1</v>
      </c>
      <c r="K50" s="65" t="b">
        <f>导出!K48=计算!K48</f>
        <v>1</v>
      </c>
      <c r="L50" s="65" t="b">
        <f>导出!L48=计算!L48</f>
        <v>1</v>
      </c>
      <c r="M50" s="65" t="b">
        <f>导出!M48=计算!M48</f>
        <v>1</v>
      </c>
      <c r="N50" s="65" t="b">
        <f>TEXT(导出!N48,"#.00")=TEXT(计算!N48, "#.00")</f>
        <v>1</v>
      </c>
      <c r="O50" s="65" t="b">
        <f>TEXT(导出!O48,"#.00")=TEXT(计算!O48, "#.00")</f>
        <v>1</v>
      </c>
      <c r="P50" s="65" t="b">
        <f>TEXT(导出!P48,"#.00")=TEXT(计算!P48, "#.00")</f>
        <v>1</v>
      </c>
      <c r="Q50" s="65" t="b">
        <f>TEXT(导出!Q48,"#.00")=TEXT(计算!Q48, "#.00")</f>
        <v>0</v>
      </c>
      <c r="R50" s="65" t="b">
        <f>TEXT(导出!R48,"#.00")=TEXT(计算!R48, "#.00")</f>
        <v>1</v>
      </c>
      <c r="S50" s="65" t="b">
        <f>TEXT(导出!S48,"#.00")=TEXT(计算!S48, "#.00")</f>
        <v>1</v>
      </c>
      <c r="T50" s="65" t="b">
        <f>TEXT(导出!T48,"#.00")=TEXT(计算!T48, "#.00")</f>
        <v>1</v>
      </c>
      <c r="U50" s="65" t="b">
        <f>TEXT(导出!U48,"#.00")=TEXT(计算!U48, "#.00")</f>
        <v>1</v>
      </c>
      <c r="V50" s="65" t="b">
        <f>TEXT(导出!V48,"#.00")=TEXT(计算!V48*100, "#.00")</f>
        <v>1</v>
      </c>
      <c r="W50" s="65" t="b">
        <f>TEXT(导出!W48,"#.00")=TEXT(计算!W48, "#.00")</f>
        <v>1</v>
      </c>
      <c r="X50" s="65" t="b">
        <f>TEXT(导出!X48,"#.00")=TEXT(计算!X48, "#.00")</f>
        <v>1</v>
      </c>
      <c r="Y50" s="65" t="b">
        <f>TEXT(导出!Y48,"#.00")=TEXT(计算!Y48, "#.00")</f>
        <v>1</v>
      </c>
      <c r="Z50" s="65" t="b">
        <f>TEXT(导出!Z48,"#.00")=TEXT(计算!Z48, "#.00")</f>
        <v>1</v>
      </c>
      <c r="AA50" s="65" t="b">
        <f>TEXT(导出!AA48,"#.00")=TEXT(计算!AA48*100, "#.00")</f>
        <v>1</v>
      </c>
      <c r="AB50" s="65" t="b">
        <f>TEXT(导出!AB48,"#.00")=TEXT(计算!AB48, "#.00")</f>
        <v>1</v>
      </c>
      <c r="AC50" s="65" t="b">
        <f>TEXT(导出!AC48,"#.00")=TEXT(计算!AC48, "#.00")</f>
        <v>1</v>
      </c>
      <c r="AD50" s="65" t="b">
        <f>TEXT(导出!AD48,"#.00")=TEXT(计算!AD48, "#.00")</f>
        <v>1</v>
      </c>
      <c r="AE50" s="65" t="b">
        <f>ABS(导出!AE48-计算!AE48)&lt;10</f>
        <v>1</v>
      </c>
      <c r="AF50" s="65" t="b">
        <f>TEXT(ABS(导出!AF48),"#.00")=TEXT(ABS(计算!AF48), "#.00")</f>
        <v>1</v>
      </c>
      <c r="AG50" s="65" t="b">
        <f>TEXT(导出!AG48,"#.00")=TEXT(计算!AG48, "#.00")</f>
        <v>1</v>
      </c>
      <c r="AH50" s="65" t="b">
        <f>TEXT(导出!AH48,"#.00")=TEXT(计算!AH48, "#.00")</f>
        <v>1</v>
      </c>
      <c r="AI50">
        <v>0</v>
      </c>
      <c r="AJ50" s="3">
        <v>41912.686249999999</v>
      </c>
      <c r="AK50" s="2" t="s">
        <v>2185</v>
      </c>
    </row>
    <row r="51" spans="1:37" x14ac:dyDescent="0.15">
      <c r="A51" s="2" t="s">
        <v>2184</v>
      </c>
      <c r="B51">
        <v>585</v>
      </c>
      <c r="C51" s="3">
        <v>41113</v>
      </c>
      <c r="D51" s="2" t="s">
        <v>37</v>
      </c>
      <c r="E51" s="2" t="s">
        <v>2183</v>
      </c>
      <c r="F51" s="2" t="s">
        <v>38</v>
      </c>
      <c r="G51" s="2" t="s">
        <v>137</v>
      </c>
      <c r="H51" s="2" t="s">
        <v>138</v>
      </c>
      <c r="I51" s="65" t="b">
        <f>导出!I49=计算!I49</f>
        <v>1</v>
      </c>
      <c r="J51" s="65" t="b">
        <f>导出!J49=计算!J49</f>
        <v>1</v>
      </c>
      <c r="K51" s="65" t="b">
        <f>导出!K49=计算!K49</f>
        <v>1</v>
      </c>
      <c r="L51" s="65" t="b">
        <f>导出!L49=计算!L49</f>
        <v>1</v>
      </c>
      <c r="M51" s="65" t="b">
        <f>导出!M49=计算!M49</f>
        <v>1</v>
      </c>
      <c r="N51" s="65" t="b">
        <f>TEXT(导出!N49,"#.00")=TEXT(计算!N49, "#.00")</f>
        <v>1</v>
      </c>
      <c r="O51" s="65" t="b">
        <f>TEXT(导出!O49,"#.00")=TEXT(计算!O49, "#.00")</f>
        <v>1</v>
      </c>
      <c r="P51" s="65" t="b">
        <f>TEXT(导出!P49,"#.00")=TEXT(计算!P49, "#.00")</f>
        <v>1</v>
      </c>
      <c r="Q51" s="65" t="b">
        <f>TEXT(导出!Q49,"#.00")=TEXT(计算!Q49, "#.00")</f>
        <v>1</v>
      </c>
      <c r="R51" s="65" t="b">
        <f>TEXT(导出!R49,"#.00")=TEXT(计算!R49, "#.00")</f>
        <v>1</v>
      </c>
      <c r="S51" s="65" t="b">
        <f>TEXT(导出!S49,"#.00")=TEXT(计算!S49, "#.00")</f>
        <v>1</v>
      </c>
      <c r="T51" s="65" t="b">
        <f>TEXT(导出!T49,"#.00")=TEXT(计算!T49, "#.00")</f>
        <v>1</v>
      </c>
      <c r="U51" s="65" t="b">
        <f>TEXT(导出!U49,"#.00")=TEXT(计算!U49, "#.00")</f>
        <v>1</v>
      </c>
      <c r="V51" s="65" t="b">
        <f>TEXT(导出!V49,"#.00")=TEXT(计算!V49*100, "#.00")</f>
        <v>1</v>
      </c>
      <c r="W51" s="65" t="b">
        <f>TEXT(导出!W49,"#.00")=TEXT(计算!W49, "#.00")</f>
        <v>1</v>
      </c>
      <c r="X51" s="65" t="b">
        <f>TEXT(导出!X49,"#.00")=TEXT(计算!X49, "#.00")</f>
        <v>1</v>
      </c>
      <c r="Y51" s="65" t="b">
        <f>TEXT(导出!Y49,"#.00")=TEXT(计算!Y49, "#.00")</f>
        <v>1</v>
      </c>
      <c r="Z51" s="65" t="b">
        <f>TEXT(导出!Z49,"#.00")=TEXT(计算!Z49, "#.00")</f>
        <v>1</v>
      </c>
      <c r="AA51" s="65" t="b">
        <f>TEXT(导出!AA49,"#.00")=TEXT(计算!AA49*100, "#.00")</f>
        <v>1</v>
      </c>
      <c r="AB51" s="65" t="b">
        <f>TEXT(导出!AB49,"#.00")=TEXT(计算!AB49, "#.00")</f>
        <v>1</v>
      </c>
      <c r="AC51" s="65" t="b">
        <f>TEXT(导出!AC49,"#.00")=TEXT(计算!AC49, "#.00")</f>
        <v>1</v>
      </c>
      <c r="AD51" s="65" t="b">
        <f>TEXT(导出!AD49,"#.00")=TEXT(计算!AD49, "#.00")</f>
        <v>1</v>
      </c>
      <c r="AE51" s="65" t="b">
        <f>ABS(导出!AE49-计算!AE49)&lt;10</f>
        <v>1</v>
      </c>
      <c r="AF51" s="65" t="b">
        <f>TEXT(ABS(导出!AF49),"#.00")=TEXT(ABS(计算!AF49), "#.00")</f>
        <v>1</v>
      </c>
      <c r="AG51" s="65" t="b">
        <f>TEXT(导出!AG49,"#.00")=TEXT(计算!AG49, "#.00")</f>
        <v>1</v>
      </c>
      <c r="AH51" s="65" t="b">
        <f>TEXT(导出!AH49,"#.00")=TEXT(计算!AH49, "#.00")</f>
        <v>1</v>
      </c>
      <c r="AI51">
        <v>0</v>
      </c>
      <c r="AJ51" s="3">
        <v>41912.686249999999</v>
      </c>
      <c r="AK51" s="2" t="s">
        <v>2182</v>
      </c>
    </row>
    <row r="52" spans="1:37" x14ac:dyDescent="0.15">
      <c r="A52" s="2" t="s">
        <v>2181</v>
      </c>
      <c r="B52">
        <v>593</v>
      </c>
      <c r="C52" s="3">
        <v>41113</v>
      </c>
      <c r="D52" s="2" t="s">
        <v>37</v>
      </c>
      <c r="E52" s="2" t="s">
        <v>2180</v>
      </c>
      <c r="F52" s="2" t="s">
        <v>38</v>
      </c>
      <c r="G52" s="2" t="s">
        <v>139</v>
      </c>
      <c r="H52" s="2" t="s">
        <v>140</v>
      </c>
      <c r="I52" s="65" t="b">
        <f>导出!I50=计算!I50</f>
        <v>1</v>
      </c>
      <c r="J52" s="65" t="b">
        <f>导出!J50=计算!J50</f>
        <v>1</v>
      </c>
      <c r="K52" s="65" t="b">
        <f>导出!K50=计算!K50</f>
        <v>1</v>
      </c>
      <c r="L52" s="65" t="b">
        <f>导出!L50=计算!L50</f>
        <v>1</v>
      </c>
      <c r="M52" s="65" t="b">
        <f>导出!M50=计算!M50</f>
        <v>1</v>
      </c>
      <c r="N52" s="65" t="b">
        <f>TEXT(导出!N50,"#.00")=TEXT(计算!N50, "#.00")</f>
        <v>1</v>
      </c>
      <c r="O52" s="65" t="b">
        <f>TEXT(导出!O50,"#.00")=TEXT(计算!O50, "#.00")</f>
        <v>1</v>
      </c>
      <c r="P52" s="65" t="b">
        <f>TEXT(导出!P50,"#.00")=TEXT(计算!P50, "#.00")</f>
        <v>1</v>
      </c>
      <c r="Q52" s="65" t="b">
        <f>TEXT(导出!Q50,"#.00")=TEXT(计算!Q50, "#.00")</f>
        <v>0</v>
      </c>
      <c r="R52" s="65" t="b">
        <f>TEXT(导出!R50,"#.00")=TEXT(计算!R50, "#.00")</f>
        <v>1</v>
      </c>
      <c r="S52" s="65" t="b">
        <f>TEXT(导出!S50,"#.00")=TEXT(计算!S50, "#.00")</f>
        <v>1</v>
      </c>
      <c r="T52" s="65" t="b">
        <f>TEXT(导出!T50,"#.00")=TEXT(计算!T50, "#.00")</f>
        <v>1</v>
      </c>
      <c r="U52" s="65" t="b">
        <f>TEXT(导出!U50,"#.00")=TEXT(计算!U50, "#.00")</f>
        <v>1</v>
      </c>
      <c r="V52" s="65" t="b">
        <f>TEXT(导出!V50,"#.00")=TEXT(计算!V50*100, "#.00")</f>
        <v>1</v>
      </c>
      <c r="W52" s="65" t="b">
        <f>TEXT(导出!W50,"#.00")=TEXT(计算!W50, "#.00")</f>
        <v>1</v>
      </c>
      <c r="X52" s="65" t="b">
        <f>TEXT(导出!X50,"#.00")=TEXT(计算!X50, "#.00")</f>
        <v>1</v>
      </c>
      <c r="Y52" s="65" t="b">
        <f>TEXT(导出!Y50,"#.00")=TEXT(计算!Y50, "#.00")</f>
        <v>1</v>
      </c>
      <c r="Z52" s="65" t="b">
        <f>TEXT(导出!Z50,"#.00")=TEXT(计算!Z50, "#.00")</f>
        <v>1</v>
      </c>
      <c r="AA52" s="65" t="b">
        <f>TEXT(导出!AA50,"#.00")=TEXT(计算!AA50*100, "#.00")</f>
        <v>1</v>
      </c>
      <c r="AB52" s="65" t="b">
        <f>TEXT(导出!AB50,"#.00")=TEXT(计算!AB50, "#.00")</f>
        <v>1</v>
      </c>
      <c r="AC52" s="65" t="b">
        <f>TEXT(导出!AC50,"#.00")=TEXT(计算!AC50, "#.00")</f>
        <v>1</v>
      </c>
      <c r="AD52" s="65" t="b">
        <f>TEXT(导出!AD50,"#.00")=TEXT(计算!AD50, "#.00")</f>
        <v>1</v>
      </c>
      <c r="AE52" s="65" t="b">
        <f>ABS(导出!AE50-计算!AE50)&lt;10</f>
        <v>1</v>
      </c>
      <c r="AF52" s="65" t="b">
        <f>TEXT(ABS(导出!AF50),"#.00")=TEXT(ABS(计算!AF50), "#.00")</f>
        <v>1</v>
      </c>
      <c r="AG52" s="65" t="b">
        <f>TEXT(导出!AG50,"#.00")=TEXT(计算!AG50, "#.00")</f>
        <v>1</v>
      </c>
      <c r="AH52" s="65" t="b">
        <f>TEXT(导出!AH50,"#.00")=TEXT(计算!AH50, "#.00")</f>
        <v>1</v>
      </c>
      <c r="AI52">
        <v>0</v>
      </c>
      <c r="AJ52" s="3">
        <v>41912.686261574097</v>
      </c>
      <c r="AK52" s="2" t="s">
        <v>2179</v>
      </c>
    </row>
    <row r="53" spans="1:37" x14ac:dyDescent="0.15">
      <c r="A53" s="2" t="s">
        <v>2178</v>
      </c>
      <c r="B53">
        <v>554</v>
      </c>
      <c r="C53" s="3">
        <v>41117</v>
      </c>
      <c r="D53" s="2" t="s">
        <v>37</v>
      </c>
      <c r="E53" s="2" t="s">
        <v>2177</v>
      </c>
      <c r="F53" s="2" t="s">
        <v>38</v>
      </c>
      <c r="G53" s="2" t="s">
        <v>141</v>
      </c>
      <c r="H53" s="2" t="s">
        <v>142</v>
      </c>
      <c r="I53" s="65" t="b">
        <f>导出!I51=计算!I51</f>
        <v>1</v>
      </c>
      <c r="J53" s="65" t="b">
        <f>导出!J51=计算!J51</f>
        <v>1</v>
      </c>
      <c r="K53" s="65" t="b">
        <f>导出!K51=计算!K51</f>
        <v>1</v>
      </c>
      <c r="L53" s="65" t="b">
        <f>导出!L51=计算!L51</f>
        <v>1</v>
      </c>
      <c r="M53" s="65" t="b">
        <f>导出!M51=计算!M51</f>
        <v>1</v>
      </c>
      <c r="N53" s="65" t="b">
        <f>TEXT(导出!N51,"#.00")=TEXT(计算!N51, "#.00")</f>
        <v>1</v>
      </c>
      <c r="O53" s="65" t="b">
        <f>TEXT(导出!O51,"#.00")=TEXT(计算!O51, "#.00")</f>
        <v>1</v>
      </c>
      <c r="P53" s="65" t="b">
        <f>TEXT(导出!P51,"#.00")=TEXT(计算!P51, "#.00")</f>
        <v>1</v>
      </c>
      <c r="Q53" s="65" t="b">
        <f>TEXT(导出!Q51,"#.00")=TEXT(计算!Q51, "#.00")</f>
        <v>0</v>
      </c>
      <c r="R53" s="65" t="b">
        <f>TEXT(导出!R51,"#.00")=TEXT(计算!R51, "#.00")</f>
        <v>1</v>
      </c>
      <c r="S53" s="65" t="b">
        <f>TEXT(导出!S51,"#.00")=TEXT(计算!S51, "#.00")</f>
        <v>1</v>
      </c>
      <c r="T53" s="65" t="b">
        <f>TEXT(导出!T51,"#.00")=TEXT(计算!T51, "#.00")</f>
        <v>1</v>
      </c>
      <c r="U53" s="65" t="b">
        <f>TEXT(导出!U51,"#.00")=TEXT(计算!U51, "#.00")</f>
        <v>1</v>
      </c>
      <c r="V53" s="65" t="b">
        <f>TEXT(导出!V51,"#.00")=TEXT(计算!V51*100, "#.00")</f>
        <v>1</v>
      </c>
      <c r="W53" s="65" t="b">
        <f>TEXT(导出!W51,"#.00")=TEXT(计算!W51, "#.00")</f>
        <v>1</v>
      </c>
      <c r="X53" s="65" t="b">
        <f>TEXT(导出!X51,"#.00")=TEXT(计算!X51, "#.00")</f>
        <v>1</v>
      </c>
      <c r="Y53" s="65" t="b">
        <f>TEXT(导出!Y51,"#.00")=TEXT(计算!Y51, "#.00")</f>
        <v>1</v>
      </c>
      <c r="Z53" s="65" t="b">
        <f>TEXT(导出!Z51,"#.00")=TEXT(计算!Z51, "#.00")</f>
        <v>1</v>
      </c>
      <c r="AA53" s="65" t="b">
        <f>TEXT(导出!AA51,"#.00")=TEXT(计算!AA51*100, "#.00")</f>
        <v>1</v>
      </c>
      <c r="AB53" s="65" t="b">
        <f>TEXT(导出!AB51,"#.00")=TEXT(计算!AB51, "#.00")</f>
        <v>1</v>
      </c>
      <c r="AC53" s="65" t="b">
        <f>TEXT(导出!AC51,"#.00")=TEXT(计算!AC51, "#.00")</f>
        <v>1</v>
      </c>
      <c r="AD53" s="65" t="b">
        <f>TEXT(导出!AD51,"#.00")=TEXT(计算!AD51, "#.00")</f>
        <v>1</v>
      </c>
      <c r="AE53" s="65" t="b">
        <f>ABS(导出!AE51-计算!AE51)&lt;10</f>
        <v>1</v>
      </c>
      <c r="AF53" s="65" t="b">
        <f>TEXT(ABS(导出!AF51),"#.00")=TEXT(ABS(计算!AF51), "#.00")</f>
        <v>1</v>
      </c>
      <c r="AG53" s="65" t="b">
        <f>TEXT(导出!AG51,"#.00")=TEXT(计算!AG51, "#.00")</f>
        <v>1</v>
      </c>
      <c r="AH53" s="65" t="b">
        <f>TEXT(导出!AH51,"#.00")=TEXT(计算!AH51, "#.00")</f>
        <v>1</v>
      </c>
      <c r="AI53">
        <v>0</v>
      </c>
      <c r="AJ53" s="3">
        <v>41912.686249999999</v>
      </c>
      <c r="AK53" s="2" t="s">
        <v>2176</v>
      </c>
    </row>
    <row r="54" spans="1:37" x14ac:dyDescent="0.15">
      <c r="A54" s="2" t="s">
        <v>2175</v>
      </c>
      <c r="B54">
        <v>59</v>
      </c>
      <c r="C54" s="3">
        <v>41122</v>
      </c>
      <c r="D54" s="2" t="s">
        <v>37</v>
      </c>
      <c r="E54" s="2" t="s">
        <v>2174</v>
      </c>
      <c r="F54" s="2" t="s">
        <v>41</v>
      </c>
      <c r="G54" s="2" t="s">
        <v>143</v>
      </c>
      <c r="H54" s="2" t="s">
        <v>144</v>
      </c>
      <c r="I54" s="65" t="b">
        <f>导出!I52=计算!I52</f>
        <v>1</v>
      </c>
      <c r="J54" s="65" t="b">
        <f>导出!J52=计算!J52</f>
        <v>1</v>
      </c>
      <c r="K54" s="65" t="b">
        <f>导出!K52=计算!K52</f>
        <v>1</v>
      </c>
      <c r="L54" s="65" t="b">
        <f>导出!L52=计算!L52</f>
        <v>1</v>
      </c>
      <c r="M54" s="65" t="b">
        <f>导出!M52=计算!M52</f>
        <v>1</v>
      </c>
      <c r="N54" s="65" t="b">
        <f>TEXT(导出!N52,"#.00")=TEXT(计算!N52, "#.00")</f>
        <v>1</v>
      </c>
      <c r="O54" s="65" t="b">
        <f>TEXT(导出!O52,"#.00")=TEXT(计算!O52, "#.00")</f>
        <v>1</v>
      </c>
      <c r="P54" s="65" t="b">
        <f>TEXT(导出!P52,"#.00")=TEXT(计算!P52, "#.00")</f>
        <v>1</v>
      </c>
      <c r="Q54" s="65" t="b">
        <f>TEXT(导出!Q52,"#.00")=TEXT(计算!Q52, "#.00")</f>
        <v>1</v>
      </c>
      <c r="R54" s="65" t="b">
        <f>TEXT(导出!R52,"#.00")=TEXT(计算!R52, "#.00")</f>
        <v>1</v>
      </c>
      <c r="S54" s="65" t="b">
        <f>TEXT(导出!S52,"#.00")=TEXT(计算!S52, "#.00")</f>
        <v>1</v>
      </c>
      <c r="T54" s="65" t="b">
        <f>TEXT(导出!T52,"#.00")=TEXT(计算!T52, "#.00")</f>
        <v>1</v>
      </c>
      <c r="U54" s="65" t="b">
        <f>TEXT(导出!U52,"#.00")=TEXT(计算!U52, "#.00")</f>
        <v>1</v>
      </c>
      <c r="V54" s="65" t="b">
        <f>TEXT(导出!V52,"#.00")=TEXT(计算!V52*100, "#.00")</f>
        <v>1</v>
      </c>
      <c r="W54" s="65" t="b">
        <f>TEXT(导出!W52,"#.00")=TEXT(计算!W52, "#.00")</f>
        <v>1</v>
      </c>
      <c r="X54" s="65" t="b">
        <f>TEXT(导出!X52,"#.00")=TEXT(计算!X52, "#.00")</f>
        <v>1</v>
      </c>
      <c r="Y54" s="65" t="b">
        <f>TEXT(导出!Y52,"#.00")=TEXT(计算!Y52, "#.00")</f>
        <v>1</v>
      </c>
      <c r="Z54" s="65" t="b">
        <f>TEXT(导出!Z52,"#.00")=TEXT(计算!Z52, "#.00")</f>
        <v>1</v>
      </c>
      <c r="AA54" s="65" t="b">
        <f>TEXT(导出!AA52,"#.00")=TEXT(计算!AA52*100, "#.00")</f>
        <v>1</v>
      </c>
      <c r="AB54" s="65" t="b">
        <f>TEXT(导出!AB52,"#.00")=TEXT(计算!AB52, "#.00")</f>
        <v>1</v>
      </c>
      <c r="AC54" s="65" t="b">
        <f>TEXT(导出!AC52,"#.00")=TEXT(计算!AC52, "#.00")</f>
        <v>1</v>
      </c>
      <c r="AD54" s="65" t="b">
        <f>TEXT(导出!AD52,"#.00")=TEXT(计算!AD52, "#.00")</f>
        <v>1</v>
      </c>
      <c r="AE54" s="65" t="b">
        <f>ABS(导出!AE52-计算!AE52)&lt;10</f>
        <v>1</v>
      </c>
      <c r="AF54" s="65" t="b">
        <f>TEXT(ABS(导出!AF52),"#.00")=TEXT(ABS(计算!AF52), "#.00")</f>
        <v>1</v>
      </c>
      <c r="AG54" s="65" t="b">
        <f>TEXT(导出!AG52,"#.00")=TEXT(计算!AG52, "#.00")</f>
        <v>1</v>
      </c>
      <c r="AH54" s="65" t="b">
        <f>TEXT(导出!AH52,"#.00")=TEXT(计算!AH52, "#.00")</f>
        <v>1</v>
      </c>
      <c r="AI54">
        <v>0</v>
      </c>
      <c r="AJ54" s="3">
        <v>41912.6862384259</v>
      </c>
      <c r="AK54" s="2" t="s">
        <v>2173</v>
      </c>
    </row>
    <row r="55" spans="1:37" x14ac:dyDescent="0.15">
      <c r="A55" s="2" t="s">
        <v>2172</v>
      </c>
      <c r="B55">
        <v>601</v>
      </c>
      <c r="C55" s="3">
        <v>41128</v>
      </c>
      <c r="D55" s="2" t="s">
        <v>37</v>
      </c>
      <c r="E55" s="2" t="s">
        <v>2171</v>
      </c>
      <c r="F55" s="2" t="s">
        <v>38</v>
      </c>
      <c r="G55" s="2" t="s">
        <v>145</v>
      </c>
      <c r="H55" s="2" t="s">
        <v>146</v>
      </c>
      <c r="I55" s="65" t="b">
        <f>导出!I53=计算!I53</f>
        <v>1</v>
      </c>
      <c r="J55" s="65" t="b">
        <f>导出!J53=计算!J53</f>
        <v>1</v>
      </c>
      <c r="K55" s="65" t="b">
        <f>导出!K53=计算!K53</f>
        <v>1</v>
      </c>
      <c r="L55" s="65" t="b">
        <f>导出!L53=计算!L53</f>
        <v>1</v>
      </c>
      <c r="M55" s="65" t="b">
        <f>导出!M53=计算!M53</f>
        <v>1</v>
      </c>
      <c r="N55" s="65" t="b">
        <f>TEXT(导出!N53,"#.00")=TEXT(计算!N53, "#.00")</f>
        <v>1</v>
      </c>
      <c r="O55" s="65" t="b">
        <f>TEXT(导出!O53,"#.00")=TEXT(计算!O53, "#.00")</f>
        <v>1</v>
      </c>
      <c r="P55" s="65" t="b">
        <f>TEXT(导出!P53,"#.00")=TEXT(计算!P53, "#.00")</f>
        <v>1</v>
      </c>
      <c r="Q55" s="65" t="b">
        <f>TEXT(导出!Q53,"#.00")=TEXT(计算!Q53, "#.00")</f>
        <v>0</v>
      </c>
      <c r="R55" s="65" t="b">
        <f>TEXT(导出!R53,"#.00")=TEXT(计算!R53, "#.00")</f>
        <v>1</v>
      </c>
      <c r="S55" s="65" t="b">
        <f>TEXT(导出!S53,"#.00")=TEXT(计算!S53, "#.00")</f>
        <v>1</v>
      </c>
      <c r="T55" s="65" t="b">
        <f>TEXT(导出!T53,"#.00")=TEXT(计算!T53, "#.00")</f>
        <v>1</v>
      </c>
      <c r="U55" s="65" t="b">
        <f>TEXT(导出!U53,"#.00")=TEXT(计算!U53, "#.00")</f>
        <v>1</v>
      </c>
      <c r="V55" s="65" t="b">
        <f>TEXT(导出!V53,"#.00")=TEXT(计算!V53*100, "#.00")</f>
        <v>1</v>
      </c>
      <c r="W55" s="65" t="b">
        <f>TEXT(导出!W53,"#.00")=TEXT(计算!W53, "#.00")</f>
        <v>1</v>
      </c>
      <c r="X55" s="65" t="b">
        <f>TEXT(导出!X53,"#.00")=TEXT(计算!X53, "#.00")</f>
        <v>1</v>
      </c>
      <c r="Y55" s="65" t="b">
        <f>TEXT(导出!Y53,"#.00")=TEXT(计算!Y53, "#.00")</f>
        <v>1</v>
      </c>
      <c r="Z55" s="65" t="b">
        <f>TEXT(导出!Z53,"#.00")=TEXT(计算!Z53, "#.00")</f>
        <v>1</v>
      </c>
      <c r="AA55" s="65" t="b">
        <f>TEXT(导出!AA53,"#.00")=TEXT(计算!AA53*100, "#.00")</f>
        <v>1</v>
      </c>
      <c r="AB55" s="65" t="b">
        <f>TEXT(导出!AB53,"#.00")=TEXT(计算!AB53, "#.00")</f>
        <v>1</v>
      </c>
      <c r="AC55" s="65" t="b">
        <f>TEXT(导出!AC53,"#.00")=TEXT(计算!AC53, "#.00")</f>
        <v>1</v>
      </c>
      <c r="AD55" s="65" t="b">
        <f>TEXT(导出!AD53,"#.00")=TEXT(计算!AD53, "#.00")</f>
        <v>1</v>
      </c>
      <c r="AE55" s="65" t="b">
        <f>ABS(导出!AE53-计算!AE53)&lt;10</f>
        <v>1</v>
      </c>
      <c r="AF55" s="65" t="b">
        <f>TEXT(ABS(导出!AF53),"#.00")=TEXT(ABS(计算!AF53), "#.00")</f>
        <v>1</v>
      </c>
      <c r="AG55" s="65" t="b">
        <f>TEXT(导出!AG53,"#.00")=TEXT(计算!AG53, "#.00")</f>
        <v>1</v>
      </c>
      <c r="AH55" s="65" t="b">
        <f>TEXT(导出!AH53,"#.00")=TEXT(计算!AH53, "#.00")</f>
        <v>1</v>
      </c>
      <c r="AI55">
        <v>0</v>
      </c>
      <c r="AJ55" s="3">
        <v>41912.686261574097</v>
      </c>
      <c r="AK55" s="2" t="s">
        <v>2170</v>
      </c>
    </row>
    <row r="56" spans="1:37" x14ac:dyDescent="0.15">
      <c r="A56" s="2" t="s">
        <v>2169</v>
      </c>
      <c r="B56">
        <v>612</v>
      </c>
      <c r="C56" s="3">
        <v>41130</v>
      </c>
      <c r="D56" s="2" t="s">
        <v>37</v>
      </c>
      <c r="E56" s="2" t="s">
        <v>2168</v>
      </c>
      <c r="F56" s="2" t="s">
        <v>38</v>
      </c>
      <c r="G56" s="2" t="s">
        <v>147</v>
      </c>
      <c r="H56" s="2" t="s">
        <v>148</v>
      </c>
      <c r="I56" s="65" t="b">
        <f>导出!I54=计算!I54</f>
        <v>1</v>
      </c>
      <c r="J56" s="65" t="b">
        <f>导出!J54=计算!J54</f>
        <v>1</v>
      </c>
      <c r="K56" s="65" t="b">
        <f>导出!K54=计算!K54</f>
        <v>1</v>
      </c>
      <c r="L56" s="65" t="b">
        <f>导出!L54=计算!L54</f>
        <v>1</v>
      </c>
      <c r="M56" s="65" t="b">
        <f>导出!M54=计算!M54</f>
        <v>1</v>
      </c>
      <c r="N56" s="65" t="b">
        <f>TEXT(导出!N54,"#.00")=TEXT(计算!N54, "#.00")</f>
        <v>1</v>
      </c>
      <c r="O56" s="65" t="b">
        <f>TEXT(导出!O54,"#.00")=TEXT(计算!O54, "#.00")</f>
        <v>1</v>
      </c>
      <c r="P56" s="65" t="b">
        <f>TEXT(导出!P54,"#.00")=TEXT(计算!P54, "#.00")</f>
        <v>1</v>
      </c>
      <c r="Q56" s="65" t="b">
        <f>TEXT(导出!Q54,"#.00")=TEXT(计算!Q54, "#.00")</f>
        <v>0</v>
      </c>
      <c r="R56" s="65" t="b">
        <f>TEXT(导出!R54,"#.00")=TEXT(计算!R54, "#.00")</f>
        <v>1</v>
      </c>
      <c r="S56" s="65" t="b">
        <f>TEXT(导出!S54,"#.00")=TEXT(计算!S54, "#.00")</f>
        <v>1</v>
      </c>
      <c r="T56" s="65" t="b">
        <f>TEXT(导出!T54,"#.00")=TEXT(计算!T54, "#.00")</f>
        <v>1</v>
      </c>
      <c r="U56" s="65" t="b">
        <f>TEXT(导出!U54,"#.00")=TEXT(计算!U54, "#.00")</f>
        <v>1</v>
      </c>
      <c r="V56" s="65" t="b">
        <f>TEXT(导出!V54,"#.00")=TEXT(计算!V54*100, "#.00")</f>
        <v>1</v>
      </c>
      <c r="W56" s="65" t="b">
        <f>TEXT(导出!W54,"#.00")=TEXT(计算!W54, "#.00")</f>
        <v>1</v>
      </c>
      <c r="X56" s="65" t="b">
        <f>TEXT(导出!X54,"#.00")=TEXT(计算!X54, "#.00")</f>
        <v>1</v>
      </c>
      <c r="Y56" s="65" t="b">
        <f>TEXT(导出!Y54,"#.00")=TEXT(计算!Y54, "#.00")</f>
        <v>0</v>
      </c>
      <c r="Z56" s="65" t="b">
        <f>TEXT(导出!Z54,"#.00")=TEXT(计算!Z54, "#.00")</f>
        <v>1</v>
      </c>
      <c r="AA56" s="65" t="b">
        <f>TEXT(导出!AA54,"#.00")=TEXT(计算!AA54*100, "#.00")</f>
        <v>1</v>
      </c>
      <c r="AB56" s="65" t="b">
        <f>TEXT(导出!AB54,"#.00")=TEXT(计算!AB54, "#.00")</f>
        <v>1</v>
      </c>
      <c r="AC56" s="65" t="b">
        <f>TEXT(导出!AC54,"#.00")=TEXT(计算!AC54, "#.00")</f>
        <v>1</v>
      </c>
      <c r="AD56" s="65" t="b">
        <f>TEXT(导出!AD54,"#.00")=TEXT(计算!AD54, "#.00")</f>
        <v>1</v>
      </c>
      <c r="AE56" s="65" t="b">
        <f>ABS(导出!AE54-计算!AE54)&lt;10</f>
        <v>1</v>
      </c>
      <c r="AF56" s="65" t="b">
        <f>TEXT(ABS(导出!AF54),"#.00")=TEXT(ABS(计算!AF54), "#.00")</f>
        <v>1</v>
      </c>
      <c r="AG56" s="65" t="b">
        <f>TEXT(导出!AG54,"#.00")=TEXT(计算!AG54, "#.00")</f>
        <v>1</v>
      </c>
      <c r="AH56" s="65" t="b">
        <f>TEXT(导出!AH54,"#.00")=TEXT(计算!AH54, "#.00")</f>
        <v>1</v>
      </c>
      <c r="AI56">
        <v>0</v>
      </c>
      <c r="AJ56" s="3">
        <v>41912.686261574097</v>
      </c>
      <c r="AK56" s="2" t="s">
        <v>2167</v>
      </c>
    </row>
    <row r="57" spans="1:37" x14ac:dyDescent="0.15">
      <c r="A57" s="2" t="s">
        <v>2166</v>
      </c>
      <c r="B57">
        <v>620</v>
      </c>
      <c r="C57" s="3">
        <v>41130</v>
      </c>
      <c r="D57" s="2" t="s">
        <v>37</v>
      </c>
      <c r="E57" s="2" t="s">
        <v>2165</v>
      </c>
      <c r="F57" s="2" t="s">
        <v>38</v>
      </c>
      <c r="G57" s="2" t="s">
        <v>149</v>
      </c>
      <c r="H57" s="2" t="s">
        <v>150</v>
      </c>
      <c r="I57" s="65" t="b">
        <f>导出!I55=计算!I55</f>
        <v>1</v>
      </c>
      <c r="J57" s="65" t="b">
        <f>导出!J55=计算!J55</f>
        <v>1</v>
      </c>
      <c r="K57" s="65" t="b">
        <f>导出!K55=计算!K55</f>
        <v>1</v>
      </c>
      <c r="L57" s="65" t="b">
        <f>导出!L55=计算!L55</f>
        <v>1</v>
      </c>
      <c r="M57" s="65" t="b">
        <f>导出!M55=计算!M55</f>
        <v>1</v>
      </c>
      <c r="N57" s="65" t="b">
        <f>TEXT(导出!N55,"#.00")=TEXT(计算!N55, "#.00")</f>
        <v>1</v>
      </c>
      <c r="O57" s="65" t="b">
        <f>TEXT(导出!O55,"#.00")=TEXT(计算!O55, "#.00")</f>
        <v>1</v>
      </c>
      <c r="P57" s="65" t="b">
        <f>TEXT(导出!P55,"#.00")=TEXT(计算!P55, "#.00")</f>
        <v>1</v>
      </c>
      <c r="Q57" s="65" t="b">
        <f>TEXT(导出!Q55,"#.00")=TEXT(计算!Q55, "#.00")</f>
        <v>0</v>
      </c>
      <c r="R57" s="65" t="b">
        <f>TEXT(导出!R55,"#.00")=TEXT(计算!R55, "#.00")</f>
        <v>1</v>
      </c>
      <c r="S57" s="65" t="b">
        <f>TEXT(导出!S55,"#.00")=TEXT(计算!S55, "#.00")</f>
        <v>1</v>
      </c>
      <c r="T57" s="65" t="b">
        <f>TEXT(导出!T55,"#.00")=TEXT(计算!T55, "#.00")</f>
        <v>1</v>
      </c>
      <c r="U57" s="65" t="b">
        <f>TEXT(导出!U55,"#.00")=TEXT(计算!U55, "#.00")</f>
        <v>1</v>
      </c>
      <c r="V57" s="65" t="b">
        <f>TEXT(导出!V55,"#.00")=TEXT(计算!V55*100, "#.00")</f>
        <v>1</v>
      </c>
      <c r="W57" s="65" t="b">
        <f>TEXT(导出!W55,"#.00")=TEXT(计算!W55, "#.00")</f>
        <v>1</v>
      </c>
      <c r="X57" s="65" t="b">
        <f>TEXT(导出!X55,"#.00")=TEXT(计算!X55, "#.00")</f>
        <v>1</v>
      </c>
      <c r="Y57" s="65" t="b">
        <f>TEXT(导出!Y55,"#.00")=TEXT(计算!Y55, "#.00")</f>
        <v>1</v>
      </c>
      <c r="Z57" s="65" t="b">
        <f>TEXT(导出!Z55,"#.00")=TEXT(计算!Z55, "#.00")</f>
        <v>1</v>
      </c>
      <c r="AA57" s="65" t="b">
        <f>TEXT(导出!AA55,"#.00")=TEXT(计算!AA55*100, "#.00")</f>
        <v>1</v>
      </c>
      <c r="AB57" s="65" t="b">
        <f>TEXT(导出!AB55,"#.00")=TEXT(计算!AB55, "#.00")</f>
        <v>1</v>
      </c>
      <c r="AC57" s="65" t="b">
        <f>TEXT(导出!AC55,"#.00")=TEXT(计算!AC55, "#.00")</f>
        <v>1</v>
      </c>
      <c r="AD57" s="65" t="b">
        <f>TEXT(导出!AD55,"#.00")=TEXT(计算!AD55, "#.00")</f>
        <v>1</v>
      </c>
      <c r="AE57" s="65" t="b">
        <f>ABS(导出!AE55-计算!AE55)&lt;10</f>
        <v>1</v>
      </c>
      <c r="AF57" s="65" t="b">
        <f>TEXT(ABS(导出!AF55),"#.00")=TEXT(ABS(计算!AF55), "#.00")</f>
        <v>1</v>
      </c>
      <c r="AG57" s="65" t="b">
        <f>TEXT(导出!AG55,"#.00")=TEXT(计算!AG55, "#.00")</f>
        <v>1</v>
      </c>
      <c r="AH57" s="65" t="b">
        <f>TEXT(导出!AH55,"#.00")=TEXT(计算!AH55, "#.00")</f>
        <v>1</v>
      </c>
      <c r="AI57">
        <v>0</v>
      </c>
      <c r="AJ57" s="3">
        <v>41912.686261574097</v>
      </c>
      <c r="AK57" s="2" t="s">
        <v>2164</v>
      </c>
    </row>
    <row r="58" spans="1:37" x14ac:dyDescent="0.15">
      <c r="A58" s="2" t="s">
        <v>2163</v>
      </c>
      <c r="B58">
        <v>64</v>
      </c>
      <c r="C58" s="3">
        <v>41153</v>
      </c>
      <c r="D58" s="2" t="s">
        <v>37</v>
      </c>
      <c r="E58" s="2" t="s">
        <v>2162</v>
      </c>
      <c r="F58" s="2" t="s">
        <v>41</v>
      </c>
      <c r="G58" s="2" t="s">
        <v>151</v>
      </c>
      <c r="H58" s="2" t="s">
        <v>152</v>
      </c>
      <c r="I58" s="65" t="b">
        <f>导出!I56=计算!I56</f>
        <v>1</v>
      </c>
      <c r="J58" s="65" t="b">
        <f>导出!J56=计算!J56</f>
        <v>1</v>
      </c>
      <c r="K58" s="65" t="b">
        <f>导出!K56=计算!K56</f>
        <v>1</v>
      </c>
      <c r="L58" s="65" t="b">
        <f>导出!L56=计算!L56</f>
        <v>1</v>
      </c>
      <c r="M58" s="65" t="b">
        <f>导出!M56=计算!M56</f>
        <v>1</v>
      </c>
      <c r="N58" s="65" t="b">
        <f>TEXT(导出!N56,"#.00")=TEXT(计算!N56, "#.00")</f>
        <v>1</v>
      </c>
      <c r="O58" s="65" t="b">
        <f>TEXT(导出!O56,"#.00")=TEXT(计算!O56, "#.00")</f>
        <v>1</v>
      </c>
      <c r="P58" s="65" t="b">
        <f>TEXT(导出!P56,"#.00")=TEXT(计算!P56, "#.00")</f>
        <v>1</v>
      </c>
      <c r="Q58" s="65" t="b">
        <f>TEXT(导出!Q56,"#.00")=TEXT(计算!Q56, "#.00")</f>
        <v>1</v>
      </c>
      <c r="R58" s="65" t="b">
        <f>TEXT(导出!R56,"#.00")=TEXT(计算!R56, "#.00")</f>
        <v>1</v>
      </c>
      <c r="S58" s="65" t="b">
        <f>TEXT(导出!S56,"#.00")=TEXT(计算!S56, "#.00")</f>
        <v>1</v>
      </c>
      <c r="T58" s="65" t="b">
        <f>TEXT(导出!T56,"#.00")=TEXT(计算!T56, "#.00")</f>
        <v>1</v>
      </c>
      <c r="U58" s="65" t="b">
        <f>TEXT(导出!U56,"#.00")=TEXT(计算!U56, "#.00")</f>
        <v>1</v>
      </c>
      <c r="V58" s="65" t="b">
        <f>TEXT(导出!V56,"#.00")=TEXT(计算!V56*100, "#.00")</f>
        <v>1</v>
      </c>
      <c r="W58" s="65" t="b">
        <f>TEXT(导出!W56,"#.00")=TEXT(计算!W56, "#.00")</f>
        <v>1</v>
      </c>
      <c r="X58" s="65" t="b">
        <f>TEXT(导出!X56,"#.00")=TEXT(计算!X56, "#.00")</f>
        <v>1</v>
      </c>
      <c r="Y58" s="65" t="b">
        <f>TEXT(导出!Y56,"#.00")=TEXT(计算!Y56, "#.00")</f>
        <v>1</v>
      </c>
      <c r="Z58" s="65" t="b">
        <f>TEXT(导出!Z56,"#.00")=TEXT(计算!Z56, "#.00")</f>
        <v>1</v>
      </c>
      <c r="AA58" s="65" t="b">
        <f>TEXT(导出!AA56,"#.00")=TEXT(计算!AA56*100, "#.00")</f>
        <v>1</v>
      </c>
      <c r="AB58" s="65" t="b">
        <f>TEXT(导出!AB56,"#.00")=TEXT(计算!AB56, "#.00")</f>
        <v>1</v>
      </c>
      <c r="AC58" s="65" t="b">
        <f>TEXT(导出!AC56,"#.00")=TEXT(计算!AC56, "#.00")</f>
        <v>1</v>
      </c>
      <c r="AD58" s="65" t="b">
        <f>TEXT(导出!AD56,"#.00")=TEXT(计算!AD56, "#.00")</f>
        <v>1</v>
      </c>
      <c r="AE58" s="65" t="b">
        <f>ABS(导出!AE56-计算!AE56)&lt;10</f>
        <v>1</v>
      </c>
      <c r="AF58" s="65" t="b">
        <f>TEXT(ABS(导出!AF56),"#.00")=TEXT(ABS(计算!AF56), "#.00")</f>
        <v>1</v>
      </c>
      <c r="AG58" s="65" t="b">
        <f>TEXT(导出!AG56,"#.00")=TEXT(计算!AG56, "#.00")</f>
        <v>1</v>
      </c>
      <c r="AH58" s="65" t="b">
        <f>TEXT(导出!AH56,"#.00")=TEXT(计算!AH56, "#.00")</f>
        <v>1</v>
      </c>
      <c r="AI58">
        <v>0</v>
      </c>
      <c r="AJ58" s="3">
        <v>41912.6862384259</v>
      </c>
      <c r="AK58" s="2" t="s">
        <v>2161</v>
      </c>
    </row>
    <row r="59" spans="1:37" x14ac:dyDescent="0.15">
      <c r="A59" s="2" t="s">
        <v>2160</v>
      </c>
      <c r="B59">
        <v>628</v>
      </c>
      <c r="C59" s="3">
        <v>41155</v>
      </c>
      <c r="D59" s="2" t="s">
        <v>37</v>
      </c>
      <c r="E59" s="2" t="s">
        <v>2159</v>
      </c>
      <c r="F59" s="2" t="s">
        <v>38</v>
      </c>
      <c r="G59" s="2" t="s">
        <v>153</v>
      </c>
      <c r="H59" s="2" t="s">
        <v>154</v>
      </c>
      <c r="I59" s="65" t="b">
        <f>导出!I57=计算!I57</f>
        <v>1</v>
      </c>
      <c r="J59" s="65" t="b">
        <f>导出!J57=计算!J57</f>
        <v>1</v>
      </c>
      <c r="K59" s="65" t="b">
        <f>导出!K57=计算!K57</f>
        <v>1</v>
      </c>
      <c r="L59" s="65" t="b">
        <f>导出!L57=计算!L57</f>
        <v>1</v>
      </c>
      <c r="M59" s="65" t="b">
        <f>导出!M57=计算!M57</f>
        <v>1</v>
      </c>
      <c r="N59" s="65" t="b">
        <f>TEXT(导出!N57,"#.00")=TEXT(计算!N57, "#.00")</f>
        <v>1</v>
      </c>
      <c r="O59" s="65" t="b">
        <f>TEXT(导出!O57,"#.00")=TEXT(计算!O57, "#.00")</f>
        <v>1</v>
      </c>
      <c r="P59" s="65" t="b">
        <f>TEXT(导出!P57,"#.00")=TEXT(计算!P57, "#.00")</f>
        <v>1</v>
      </c>
      <c r="Q59" s="65" t="b">
        <f>TEXT(导出!Q57,"#.00")=TEXT(计算!Q57, "#.00")</f>
        <v>0</v>
      </c>
      <c r="R59" s="65" t="b">
        <f>TEXT(导出!R57,"#.00")=TEXT(计算!R57, "#.00")</f>
        <v>1</v>
      </c>
      <c r="S59" s="65" t="b">
        <f>TEXT(导出!S57,"#.00")=TEXT(计算!S57, "#.00")</f>
        <v>1</v>
      </c>
      <c r="T59" s="65" t="b">
        <f>TEXT(导出!T57,"#.00")=TEXT(计算!T57, "#.00")</f>
        <v>1</v>
      </c>
      <c r="U59" s="65" t="b">
        <f>TEXT(导出!U57,"#.00")=TEXT(计算!U57, "#.00")</f>
        <v>1</v>
      </c>
      <c r="V59" s="65" t="b">
        <f>TEXT(导出!V57,"#.00")=TEXT(计算!V57*100, "#.00")</f>
        <v>1</v>
      </c>
      <c r="W59" s="65" t="b">
        <f>TEXT(导出!W57,"#.00")=TEXT(计算!W57, "#.00")</f>
        <v>1</v>
      </c>
      <c r="X59" s="65" t="b">
        <f>TEXT(导出!X57,"#.00")=TEXT(计算!X57, "#.00")</f>
        <v>1</v>
      </c>
      <c r="Y59" s="65" t="b">
        <f>TEXT(导出!Y57,"#.00")=TEXT(计算!Y57, "#.00")</f>
        <v>1</v>
      </c>
      <c r="Z59" s="65" t="b">
        <f>TEXT(导出!Z57,"#.00")=TEXT(计算!Z57, "#.00")</f>
        <v>1</v>
      </c>
      <c r="AA59" s="65" t="b">
        <f>TEXT(导出!AA57,"#.00")=TEXT(计算!AA57*100, "#.00")</f>
        <v>1</v>
      </c>
      <c r="AB59" s="65" t="b">
        <f>TEXT(导出!AB57,"#.00")=TEXT(计算!AB57, "#.00")</f>
        <v>1</v>
      </c>
      <c r="AC59" s="65" t="b">
        <f>TEXT(导出!AC57,"#.00")=TEXT(计算!AC57, "#.00")</f>
        <v>1</v>
      </c>
      <c r="AD59" s="65" t="b">
        <f>TEXT(导出!AD57,"#.00")=TEXT(计算!AD57, "#.00")</f>
        <v>1</v>
      </c>
      <c r="AE59" s="65" t="b">
        <f>ABS(导出!AE57-计算!AE57)&lt;10</f>
        <v>1</v>
      </c>
      <c r="AF59" s="65" t="b">
        <f>TEXT(ABS(导出!AF57),"#.00")=TEXT(ABS(计算!AF57), "#.00")</f>
        <v>1</v>
      </c>
      <c r="AG59" s="65" t="b">
        <f>TEXT(导出!AG57,"#.00")=TEXT(计算!AG57, "#.00")</f>
        <v>1</v>
      </c>
      <c r="AH59" s="65" t="b">
        <f>TEXT(导出!AH57,"#.00")=TEXT(计算!AH57, "#.00")</f>
        <v>1</v>
      </c>
      <c r="AI59">
        <v>0</v>
      </c>
      <c r="AJ59" s="3">
        <v>41912.686261574097</v>
      </c>
      <c r="AK59" s="2" t="s">
        <v>2158</v>
      </c>
    </row>
    <row r="60" spans="1:37" x14ac:dyDescent="0.15">
      <c r="A60" s="2" t="s">
        <v>2157</v>
      </c>
      <c r="B60">
        <v>637</v>
      </c>
      <c r="C60" s="3">
        <v>41155</v>
      </c>
      <c r="D60" s="2" t="s">
        <v>37</v>
      </c>
      <c r="E60" s="2" t="s">
        <v>2156</v>
      </c>
      <c r="F60" s="2" t="s">
        <v>38</v>
      </c>
      <c r="G60" s="2" t="s">
        <v>155</v>
      </c>
      <c r="H60" s="2" t="s">
        <v>156</v>
      </c>
      <c r="I60" s="65" t="b">
        <f>导出!I58=计算!I58</f>
        <v>1</v>
      </c>
      <c r="J60" s="65" t="b">
        <f>导出!J58=计算!J58</f>
        <v>1</v>
      </c>
      <c r="K60" s="65" t="b">
        <f>导出!K58=计算!K58</f>
        <v>1</v>
      </c>
      <c r="L60" s="65" t="b">
        <f>导出!L58=计算!L58</f>
        <v>1</v>
      </c>
      <c r="M60" s="65" t="b">
        <f>导出!M58=计算!M58</f>
        <v>1</v>
      </c>
      <c r="N60" s="65" t="b">
        <f>TEXT(导出!N58,"#.00")=TEXT(计算!N58, "#.00")</f>
        <v>1</v>
      </c>
      <c r="O60" s="65" t="b">
        <f>TEXT(导出!O58,"#.00")=TEXT(计算!O58, "#.00")</f>
        <v>1</v>
      </c>
      <c r="P60" s="65" t="b">
        <f>TEXT(导出!P58,"#.00")=TEXT(计算!P58, "#.00")</f>
        <v>1</v>
      </c>
      <c r="Q60" s="65" t="b">
        <f>TEXT(导出!Q58,"#.00")=TEXT(计算!Q58, "#.00")</f>
        <v>0</v>
      </c>
      <c r="R60" s="65" t="b">
        <f>TEXT(导出!R58,"#.00")=TEXT(计算!R58, "#.00")</f>
        <v>1</v>
      </c>
      <c r="S60" s="65" t="b">
        <f>TEXT(导出!S58,"#.00")=TEXT(计算!S58, "#.00")</f>
        <v>1</v>
      </c>
      <c r="T60" s="65" t="b">
        <f>TEXT(导出!T58,"#.00")=TEXT(计算!T58, "#.00")</f>
        <v>1</v>
      </c>
      <c r="U60" s="65" t="b">
        <f>TEXT(导出!U58,"#.00")=TEXT(计算!U58, "#.00")</f>
        <v>1</v>
      </c>
      <c r="V60" s="65" t="b">
        <f>TEXT(导出!V58,"#.00")=TEXT(计算!V58*100, "#.00")</f>
        <v>1</v>
      </c>
      <c r="W60" s="65" t="b">
        <f>TEXT(导出!W58,"#.00")=TEXT(计算!W58, "#.00")</f>
        <v>1</v>
      </c>
      <c r="X60" s="65" t="b">
        <f>TEXT(导出!X58,"#.00")=TEXT(计算!X58, "#.00")</f>
        <v>1</v>
      </c>
      <c r="Y60" s="65" t="b">
        <f>TEXT(导出!Y58,"#.00")=TEXT(计算!Y58, "#.00")</f>
        <v>1</v>
      </c>
      <c r="Z60" s="65" t="b">
        <f>TEXT(导出!Z58,"#.00")=TEXT(计算!Z58, "#.00")</f>
        <v>1</v>
      </c>
      <c r="AA60" s="65" t="b">
        <f>TEXT(导出!AA58,"#.00")=TEXT(计算!AA58*100, "#.00")</f>
        <v>1</v>
      </c>
      <c r="AB60" s="65" t="b">
        <f>TEXT(导出!AB58,"#.00")=TEXT(计算!AB58, "#.00")</f>
        <v>1</v>
      </c>
      <c r="AC60" s="65" t="b">
        <f>TEXT(导出!AC58,"#.00")=TEXT(计算!AC58, "#.00")</f>
        <v>1</v>
      </c>
      <c r="AD60" s="65" t="b">
        <f>TEXT(导出!AD58,"#.00")=TEXT(计算!AD58, "#.00")</f>
        <v>1</v>
      </c>
      <c r="AE60" s="65" t="b">
        <f>ABS(导出!AE58-计算!AE58)&lt;10</f>
        <v>1</v>
      </c>
      <c r="AF60" s="65" t="b">
        <f>TEXT(ABS(导出!AF58),"#.00")=TEXT(ABS(计算!AF58), "#.00")</f>
        <v>1</v>
      </c>
      <c r="AG60" s="65" t="b">
        <f>TEXT(导出!AG58,"#.00")=TEXT(计算!AG58, "#.00")</f>
        <v>1</v>
      </c>
      <c r="AH60" s="65" t="b">
        <f>TEXT(导出!AH58,"#.00")=TEXT(计算!AH58, "#.00")</f>
        <v>1</v>
      </c>
      <c r="AI60">
        <v>0</v>
      </c>
      <c r="AJ60" s="3">
        <v>41912.686261574097</v>
      </c>
      <c r="AK60" s="2" t="s">
        <v>2155</v>
      </c>
    </row>
    <row r="61" spans="1:37" x14ac:dyDescent="0.15">
      <c r="A61" s="2" t="s">
        <v>2154</v>
      </c>
      <c r="B61">
        <v>648</v>
      </c>
      <c r="C61" s="3">
        <v>41172</v>
      </c>
      <c r="D61" s="2" t="s">
        <v>37</v>
      </c>
      <c r="E61" s="2" t="s">
        <v>2153</v>
      </c>
      <c r="F61" s="2" t="s">
        <v>38</v>
      </c>
      <c r="G61" s="2" t="s">
        <v>157</v>
      </c>
      <c r="H61" s="2" t="s">
        <v>158</v>
      </c>
      <c r="I61" s="65" t="b">
        <f>导出!I59=计算!I59</f>
        <v>1</v>
      </c>
      <c r="J61" s="65" t="b">
        <f>导出!J59=计算!J59</f>
        <v>1</v>
      </c>
      <c r="K61" s="65" t="b">
        <f>导出!K59=计算!K59</f>
        <v>1</v>
      </c>
      <c r="L61" s="65" t="b">
        <f>导出!L59=计算!L59</f>
        <v>1</v>
      </c>
      <c r="M61" s="65" t="b">
        <f>导出!M59=计算!M59</f>
        <v>1</v>
      </c>
      <c r="N61" s="65" t="b">
        <f>TEXT(导出!N59,"#.00")=TEXT(计算!N59, "#.00")</f>
        <v>1</v>
      </c>
      <c r="O61" s="65" t="b">
        <f>TEXT(导出!O59,"#.00")=TEXT(计算!O59, "#.00")</f>
        <v>1</v>
      </c>
      <c r="P61" s="65" t="b">
        <f>TEXT(导出!P59,"#.00")=TEXT(计算!P59, "#.00")</f>
        <v>1</v>
      </c>
      <c r="Q61" s="65" t="b">
        <f>TEXT(导出!Q59,"#.00")=TEXT(计算!Q59, "#.00")</f>
        <v>0</v>
      </c>
      <c r="R61" s="65" t="b">
        <f>TEXT(导出!R59,"#.00")=TEXT(计算!R59, "#.00")</f>
        <v>1</v>
      </c>
      <c r="S61" s="65" t="b">
        <f>TEXT(导出!S59,"#.00")=TEXT(计算!S59, "#.00")</f>
        <v>1</v>
      </c>
      <c r="T61" s="65" t="b">
        <f>TEXT(导出!T59,"#.00")=TEXT(计算!T59, "#.00")</f>
        <v>1</v>
      </c>
      <c r="U61" s="65" t="b">
        <f>TEXT(导出!U59,"#.00")=TEXT(计算!U59, "#.00")</f>
        <v>1</v>
      </c>
      <c r="V61" s="65" t="b">
        <f>TEXT(导出!V59,"#.00")=TEXT(计算!V59*100, "#.00")</f>
        <v>1</v>
      </c>
      <c r="W61" s="65" t="b">
        <f>TEXT(导出!W59,"#.00")=TEXT(计算!W59, "#.00")</f>
        <v>1</v>
      </c>
      <c r="X61" s="65" t="b">
        <f>TEXT(导出!X59,"#.00")=TEXT(计算!X59, "#.00")</f>
        <v>1</v>
      </c>
      <c r="Y61" s="65" t="b">
        <f>TEXT(导出!Y59,"#.00")=TEXT(计算!Y59, "#.00")</f>
        <v>0</v>
      </c>
      <c r="Z61" s="65" t="b">
        <f>TEXT(导出!Z59,"#.00")=TEXT(计算!Z59, "#.00")</f>
        <v>1</v>
      </c>
      <c r="AA61" s="65" t="b">
        <f>TEXT(导出!AA59,"#.00")=TEXT(计算!AA59*100, "#.00")</f>
        <v>1</v>
      </c>
      <c r="AB61" s="65" t="b">
        <f>TEXT(导出!AB59,"#.00")=TEXT(计算!AB59, "#.00")</f>
        <v>1</v>
      </c>
      <c r="AC61" s="65" t="b">
        <f>TEXT(导出!AC59,"#.00")=TEXT(计算!AC59, "#.00")</f>
        <v>1</v>
      </c>
      <c r="AD61" s="65" t="b">
        <f>TEXT(导出!AD59,"#.00")=TEXT(计算!AD59, "#.00")</f>
        <v>1</v>
      </c>
      <c r="AE61" s="65" t="b">
        <f>ABS(导出!AE59-计算!AE59)&lt;10</f>
        <v>1</v>
      </c>
      <c r="AF61" s="65" t="b">
        <f>TEXT(ABS(导出!AF59),"#.00")=TEXT(ABS(计算!AF59), "#.00")</f>
        <v>1</v>
      </c>
      <c r="AG61" s="65" t="b">
        <f>TEXT(导出!AG59,"#.00")=TEXT(计算!AG59, "#.00")</f>
        <v>1</v>
      </c>
      <c r="AH61" s="65" t="b">
        <f>TEXT(导出!AH59,"#.00")=TEXT(计算!AH59, "#.00")</f>
        <v>1</v>
      </c>
      <c r="AI61">
        <v>0</v>
      </c>
      <c r="AJ61" s="3">
        <v>41912.686261574097</v>
      </c>
      <c r="AK61" s="2" t="s">
        <v>2152</v>
      </c>
    </row>
    <row r="62" spans="1:37" x14ac:dyDescent="0.15">
      <c r="A62" s="2" t="s">
        <v>2151</v>
      </c>
      <c r="B62">
        <v>69</v>
      </c>
      <c r="C62" s="3">
        <v>41183</v>
      </c>
      <c r="D62" s="2" t="s">
        <v>37</v>
      </c>
      <c r="E62" s="2" t="s">
        <v>2150</v>
      </c>
      <c r="F62" s="2" t="s">
        <v>41</v>
      </c>
      <c r="G62" s="2" t="s">
        <v>160</v>
      </c>
      <c r="H62" s="2" t="s">
        <v>161</v>
      </c>
      <c r="I62" s="65" t="b">
        <f>导出!I60=计算!I60</f>
        <v>1</v>
      </c>
      <c r="J62" s="65" t="b">
        <f>导出!J60=计算!J60</f>
        <v>1</v>
      </c>
      <c r="K62" s="65" t="b">
        <f>导出!K60=计算!K60</f>
        <v>1</v>
      </c>
      <c r="L62" s="65" t="b">
        <f>导出!L60=计算!L60</f>
        <v>1</v>
      </c>
      <c r="M62" s="65" t="b">
        <f>导出!M60=计算!M60</f>
        <v>1</v>
      </c>
      <c r="N62" s="65" t="b">
        <f>TEXT(导出!N60,"#.00")=TEXT(计算!N60, "#.00")</f>
        <v>1</v>
      </c>
      <c r="O62" s="65" t="b">
        <f>TEXT(导出!O60,"#.00")=TEXT(计算!O60, "#.00")</f>
        <v>1</v>
      </c>
      <c r="P62" s="65" t="b">
        <f>TEXT(导出!P60,"#.00")=TEXT(计算!P60, "#.00")</f>
        <v>1</v>
      </c>
      <c r="Q62" s="65" t="b">
        <f>TEXT(导出!Q60,"#.00")=TEXT(计算!Q60, "#.00")</f>
        <v>1</v>
      </c>
      <c r="R62" s="65" t="b">
        <f>TEXT(导出!R60,"#.00")=TEXT(计算!R60, "#.00")</f>
        <v>1</v>
      </c>
      <c r="S62" s="65" t="b">
        <f>TEXT(导出!S60,"#.00")=TEXT(计算!S60, "#.00")</f>
        <v>1</v>
      </c>
      <c r="T62" s="65" t="b">
        <f>TEXT(导出!T60,"#.00")=TEXT(计算!T60, "#.00")</f>
        <v>1</v>
      </c>
      <c r="U62" s="65" t="b">
        <f>TEXT(导出!U60,"#.00")=TEXT(计算!U60, "#.00")</f>
        <v>1</v>
      </c>
      <c r="V62" s="65" t="b">
        <f>TEXT(导出!V60,"#.00")=TEXT(计算!V60*100, "#.00")</f>
        <v>1</v>
      </c>
      <c r="W62" s="65" t="b">
        <f>TEXT(导出!W60,"#.00")=TEXT(计算!W60, "#.00")</f>
        <v>1</v>
      </c>
      <c r="X62" s="65" t="b">
        <f>TEXT(导出!X60,"#.00")=TEXT(计算!X60, "#.00")</f>
        <v>1</v>
      </c>
      <c r="Y62" s="65" t="b">
        <f>TEXT(导出!Y60,"#.00")=TEXT(计算!Y60, "#.00")</f>
        <v>1</v>
      </c>
      <c r="Z62" s="65" t="b">
        <f>TEXT(导出!Z60,"#.00")=TEXT(计算!Z60, "#.00")</f>
        <v>1</v>
      </c>
      <c r="AA62" s="65" t="b">
        <f>TEXT(导出!AA60,"#.00")=TEXT(计算!AA60*100, "#.00")</f>
        <v>1</v>
      </c>
      <c r="AB62" s="65" t="b">
        <f>TEXT(导出!AB60,"#.00")=TEXT(计算!AB60, "#.00")</f>
        <v>1</v>
      </c>
      <c r="AC62" s="65" t="b">
        <f>TEXT(导出!AC60,"#.00")=TEXT(计算!AC60, "#.00")</f>
        <v>1</v>
      </c>
      <c r="AD62" s="65" t="b">
        <f>TEXT(导出!AD60,"#.00")=TEXT(计算!AD60, "#.00")</f>
        <v>1</v>
      </c>
      <c r="AE62" s="65" t="b">
        <f>ABS(导出!AE60-计算!AE60)&lt;10</f>
        <v>1</v>
      </c>
      <c r="AF62" s="65" t="b">
        <f>TEXT(ABS(导出!AF60),"#.00")=TEXT(ABS(计算!AF60), "#.00")</f>
        <v>1</v>
      </c>
      <c r="AG62" s="65" t="b">
        <f>TEXT(导出!AG60,"#.00")=TEXT(计算!AG60, "#.00")</f>
        <v>1</v>
      </c>
      <c r="AH62" s="65" t="b">
        <f>TEXT(导出!AH60,"#.00")=TEXT(计算!AH60, "#.00")</f>
        <v>1</v>
      </c>
      <c r="AI62">
        <v>0</v>
      </c>
      <c r="AJ62" s="3">
        <v>41912.6862384259</v>
      </c>
      <c r="AK62" s="2" t="s">
        <v>2149</v>
      </c>
    </row>
    <row r="63" spans="1:37" x14ac:dyDescent="0.15">
      <c r="A63" s="2" t="s">
        <v>2148</v>
      </c>
      <c r="B63">
        <v>71</v>
      </c>
      <c r="C63" s="3">
        <v>41183</v>
      </c>
      <c r="D63" s="2" t="s">
        <v>37</v>
      </c>
      <c r="E63" s="2" t="s">
        <v>2147</v>
      </c>
      <c r="F63" s="2" t="s">
        <v>41</v>
      </c>
      <c r="G63" s="2" t="s">
        <v>162</v>
      </c>
      <c r="H63" s="2" t="s">
        <v>161</v>
      </c>
      <c r="I63" s="65" t="b">
        <f>导出!I61=计算!I61</f>
        <v>1</v>
      </c>
      <c r="J63" s="65" t="b">
        <f>导出!J61=计算!J61</f>
        <v>1</v>
      </c>
      <c r="K63" s="65" t="b">
        <f>导出!K61=计算!K61</f>
        <v>1</v>
      </c>
      <c r="L63" s="65" t="b">
        <f>导出!L61=计算!L61</f>
        <v>1</v>
      </c>
      <c r="M63" s="65" t="b">
        <f>导出!M61=计算!M61</f>
        <v>1</v>
      </c>
      <c r="N63" s="65" t="b">
        <f>TEXT(导出!N61,"#.00")=TEXT(计算!N61, "#.00")</f>
        <v>1</v>
      </c>
      <c r="O63" s="65" t="b">
        <f>TEXT(导出!O61,"#.00")=TEXT(计算!O61, "#.00")</f>
        <v>1</v>
      </c>
      <c r="P63" s="65" t="b">
        <f>TEXT(导出!P61,"#.00")=TEXT(计算!P61, "#.00")</f>
        <v>1</v>
      </c>
      <c r="Q63" s="65" t="b">
        <f>TEXT(导出!Q61,"#.00")=TEXT(计算!Q61, "#.00")</f>
        <v>1</v>
      </c>
      <c r="R63" s="65" t="b">
        <f>TEXT(导出!R61,"#.00")=TEXT(计算!R61, "#.00")</f>
        <v>1</v>
      </c>
      <c r="S63" s="65" t="b">
        <f>TEXT(导出!S61,"#.00")=TEXT(计算!S61, "#.00")</f>
        <v>1</v>
      </c>
      <c r="T63" s="65" t="b">
        <f>TEXT(导出!T61,"#.00")=TEXT(计算!T61, "#.00")</f>
        <v>1</v>
      </c>
      <c r="U63" s="65" t="b">
        <f>TEXT(导出!U61,"#.00")=TEXT(计算!U61, "#.00")</f>
        <v>1</v>
      </c>
      <c r="V63" s="65" t="b">
        <f>TEXT(导出!V61,"#.00")=TEXT(计算!V61*100, "#.00")</f>
        <v>1</v>
      </c>
      <c r="W63" s="65" t="b">
        <f>TEXT(导出!W61,"#.00")=TEXT(计算!W61, "#.00")</f>
        <v>1</v>
      </c>
      <c r="X63" s="65" t="b">
        <f>TEXT(导出!X61,"#.00")=TEXT(计算!X61, "#.00")</f>
        <v>1</v>
      </c>
      <c r="Y63" s="65" t="b">
        <f>TEXT(导出!Y61,"#.00")=TEXT(计算!Y61, "#.00")</f>
        <v>1</v>
      </c>
      <c r="Z63" s="65" t="b">
        <f>TEXT(导出!Z61,"#.00")=TEXT(计算!Z61, "#.00")</f>
        <v>1</v>
      </c>
      <c r="AA63" s="65" t="b">
        <f>TEXT(导出!AA61,"#.00")=TEXT(计算!AA61*100, "#.00")</f>
        <v>1</v>
      </c>
      <c r="AB63" s="65" t="b">
        <f>TEXT(导出!AB61,"#.00")=TEXT(计算!AB61, "#.00")</f>
        <v>1</v>
      </c>
      <c r="AC63" s="65" t="b">
        <f>TEXT(导出!AC61,"#.00")=TEXT(计算!AC61, "#.00")</f>
        <v>1</v>
      </c>
      <c r="AD63" s="65" t="b">
        <f>TEXT(导出!AD61,"#.00")=TEXT(计算!AD61, "#.00")</f>
        <v>1</v>
      </c>
      <c r="AE63" s="65" t="b">
        <f>ABS(导出!AE61-计算!AE61)&lt;10</f>
        <v>1</v>
      </c>
      <c r="AF63" s="65" t="b">
        <f>TEXT(ABS(导出!AF61),"#.00")=TEXT(ABS(计算!AF61), "#.00")</f>
        <v>1</v>
      </c>
      <c r="AG63" s="65" t="b">
        <f>TEXT(导出!AG61,"#.00")=TEXT(计算!AG61, "#.00")</f>
        <v>1</v>
      </c>
      <c r="AH63" s="65" t="b">
        <f>TEXT(导出!AH61,"#.00")=TEXT(计算!AH61, "#.00")</f>
        <v>1</v>
      </c>
      <c r="AI63">
        <v>0</v>
      </c>
      <c r="AJ63" s="3">
        <v>41912.6862384259</v>
      </c>
      <c r="AK63" s="2" t="s">
        <v>2146</v>
      </c>
    </row>
    <row r="64" spans="1:37" x14ac:dyDescent="0.15">
      <c r="A64" s="2" t="s">
        <v>2145</v>
      </c>
      <c r="B64">
        <v>76</v>
      </c>
      <c r="C64" s="3">
        <v>41214</v>
      </c>
      <c r="D64" s="2" t="s">
        <v>37</v>
      </c>
      <c r="E64" s="2" t="s">
        <v>2144</v>
      </c>
      <c r="F64" s="2" t="s">
        <v>41</v>
      </c>
      <c r="G64" s="2" t="s">
        <v>163</v>
      </c>
      <c r="H64" s="2" t="s">
        <v>164</v>
      </c>
      <c r="I64" s="65" t="b">
        <f>导出!I62=计算!I62</f>
        <v>1</v>
      </c>
      <c r="J64" s="65" t="b">
        <f>导出!J62=计算!J62</f>
        <v>1</v>
      </c>
      <c r="K64" s="65" t="b">
        <f>导出!K62=计算!K62</f>
        <v>1</v>
      </c>
      <c r="L64" s="65" t="b">
        <f>导出!L62=计算!L62</f>
        <v>1</v>
      </c>
      <c r="M64" s="65" t="b">
        <f>导出!M62=计算!M62</f>
        <v>1</v>
      </c>
      <c r="N64" s="65" t="b">
        <f>TEXT(导出!N62,"#.00")=TEXT(计算!N62, "#.00")</f>
        <v>1</v>
      </c>
      <c r="O64" s="65" t="b">
        <f>TEXT(导出!O62,"#.00")=TEXT(计算!O62, "#.00")</f>
        <v>1</v>
      </c>
      <c r="P64" s="65" t="b">
        <f>TEXT(导出!P62,"#.00")=TEXT(计算!P62, "#.00")</f>
        <v>1</v>
      </c>
      <c r="Q64" s="65" t="b">
        <f>TEXT(导出!Q62,"#.00")=TEXT(计算!Q62, "#.00")</f>
        <v>1</v>
      </c>
      <c r="R64" s="65" t="b">
        <f>TEXT(导出!R62,"#.00")=TEXT(计算!R62, "#.00")</f>
        <v>1</v>
      </c>
      <c r="S64" s="65" t="b">
        <f>TEXT(导出!S62,"#.00")=TEXT(计算!S62, "#.00")</f>
        <v>1</v>
      </c>
      <c r="T64" s="65" t="b">
        <f>TEXT(导出!T62,"#.00")=TEXT(计算!T62, "#.00")</f>
        <v>1</v>
      </c>
      <c r="U64" s="65" t="b">
        <f>TEXT(导出!U62,"#.00")=TEXT(计算!U62, "#.00")</f>
        <v>1</v>
      </c>
      <c r="V64" s="65" t="b">
        <f>TEXT(导出!V62,"#.00")=TEXT(计算!V62*100, "#.00")</f>
        <v>1</v>
      </c>
      <c r="W64" s="65" t="b">
        <f>TEXT(导出!W62,"#.00")=TEXT(计算!W62, "#.00")</f>
        <v>1</v>
      </c>
      <c r="X64" s="65" t="b">
        <f>TEXT(导出!X62,"#.00")=TEXT(计算!X62, "#.00")</f>
        <v>1</v>
      </c>
      <c r="Y64" s="65" t="b">
        <f>TEXT(导出!Y62,"#.00")=TEXT(计算!Y62, "#.00")</f>
        <v>1</v>
      </c>
      <c r="Z64" s="65" t="b">
        <f>TEXT(导出!Z62,"#.00")=TEXT(计算!Z62, "#.00")</f>
        <v>1</v>
      </c>
      <c r="AA64" s="65" t="b">
        <f>TEXT(导出!AA62,"#.00")=TEXT(计算!AA62*100, "#.00")</f>
        <v>1</v>
      </c>
      <c r="AB64" s="65" t="b">
        <f>TEXT(导出!AB62,"#.00")=TEXT(计算!AB62, "#.00")</f>
        <v>1</v>
      </c>
      <c r="AC64" s="65" t="b">
        <f>TEXT(导出!AC62,"#.00")=TEXT(计算!AC62, "#.00")</f>
        <v>1</v>
      </c>
      <c r="AD64" s="65" t="b">
        <f>TEXT(导出!AD62,"#.00")=TEXT(计算!AD62, "#.00")</f>
        <v>1</v>
      </c>
      <c r="AE64" s="65" t="b">
        <f>ABS(导出!AE62-计算!AE62)&lt;10</f>
        <v>1</v>
      </c>
      <c r="AF64" s="65" t="b">
        <f>TEXT(ABS(导出!AF62),"#.00")=TEXT(ABS(计算!AF62), "#.00")</f>
        <v>1</v>
      </c>
      <c r="AG64" s="65" t="b">
        <f>TEXT(导出!AG62,"#.00")=TEXT(计算!AG62, "#.00")</f>
        <v>1</v>
      </c>
      <c r="AH64" s="65" t="b">
        <f>TEXT(导出!AH62,"#.00")=TEXT(计算!AH62, "#.00")</f>
        <v>1</v>
      </c>
      <c r="AI64">
        <v>0</v>
      </c>
      <c r="AJ64" s="3">
        <v>41912.6862384259</v>
      </c>
      <c r="AK64" s="2" t="s">
        <v>2143</v>
      </c>
    </row>
    <row r="65" spans="1:37" x14ac:dyDescent="0.15">
      <c r="A65" s="2" t="s">
        <v>2142</v>
      </c>
      <c r="B65">
        <v>656</v>
      </c>
      <c r="C65" s="3">
        <v>41242</v>
      </c>
      <c r="D65" s="2" t="s">
        <v>37</v>
      </c>
      <c r="E65" s="2" t="s">
        <v>2141</v>
      </c>
      <c r="F65" s="2" t="s">
        <v>38</v>
      </c>
      <c r="G65" s="2" t="s">
        <v>165</v>
      </c>
      <c r="H65" s="2" t="s">
        <v>166</v>
      </c>
      <c r="I65" s="65" t="b">
        <f>导出!I63=计算!I63</f>
        <v>1</v>
      </c>
      <c r="J65" s="65" t="b">
        <f>导出!J63=计算!J63</f>
        <v>1</v>
      </c>
      <c r="K65" s="65" t="b">
        <f>导出!K63=计算!K63</f>
        <v>1</v>
      </c>
      <c r="L65" s="65" t="b">
        <f>导出!L63=计算!L63</f>
        <v>1</v>
      </c>
      <c r="M65" s="65" t="b">
        <f>导出!M63=计算!M63</f>
        <v>1</v>
      </c>
      <c r="N65" s="65" t="b">
        <f>TEXT(导出!N63,"#.00")=TEXT(计算!N63, "#.00")</f>
        <v>1</v>
      </c>
      <c r="O65" s="65" t="b">
        <f>TEXT(导出!O63,"#.00")=TEXT(计算!O63, "#.00")</f>
        <v>1</v>
      </c>
      <c r="P65" s="65" t="b">
        <f>TEXT(导出!P63,"#.00")=TEXT(计算!P63, "#.00")</f>
        <v>1</v>
      </c>
      <c r="Q65" s="65" t="b">
        <f>TEXT(导出!Q63,"#.00")=TEXT(计算!Q63, "#.00")</f>
        <v>0</v>
      </c>
      <c r="R65" s="65" t="b">
        <f>TEXT(导出!R63,"#.00")=TEXT(计算!R63, "#.00")</f>
        <v>1</v>
      </c>
      <c r="S65" s="65" t="b">
        <f>TEXT(导出!S63,"#.00")=TEXT(计算!S63, "#.00")</f>
        <v>1</v>
      </c>
      <c r="T65" s="65" t="b">
        <f>TEXT(导出!T63,"#.00")=TEXT(计算!T63, "#.00")</f>
        <v>1</v>
      </c>
      <c r="U65" s="65" t="b">
        <f>TEXT(导出!U63,"#.00")=TEXT(计算!U63, "#.00")</f>
        <v>1</v>
      </c>
      <c r="V65" s="65" t="b">
        <f>TEXT(导出!V63,"#.00")=TEXT(计算!V63*100, "#.00")</f>
        <v>1</v>
      </c>
      <c r="W65" s="65" t="b">
        <f>TEXT(导出!W63,"#.00")=TEXT(计算!W63, "#.00")</f>
        <v>1</v>
      </c>
      <c r="X65" s="65" t="b">
        <f>TEXT(导出!X63,"#.00")=TEXT(计算!X63, "#.00")</f>
        <v>1</v>
      </c>
      <c r="Y65" s="65" t="b">
        <f>TEXT(导出!Y63,"#.00")=TEXT(计算!Y63, "#.00")</f>
        <v>1</v>
      </c>
      <c r="Z65" s="65" t="b">
        <f>TEXT(导出!Z63,"#.00")=TEXT(计算!Z63, "#.00")</f>
        <v>1</v>
      </c>
      <c r="AA65" s="65" t="b">
        <f>TEXT(导出!AA63,"#.00")=TEXT(计算!AA63*100, "#.00")</f>
        <v>1</v>
      </c>
      <c r="AB65" s="65" t="b">
        <f>TEXT(导出!AB63,"#.00")=TEXT(计算!AB63, "#.00")</f>
        <v>1</v>
      </c>
      <c r="AC65" s="65" t="b">
        <f>TEXT(导出!AC63,"#.00")=TEXT(计算!AC63, "#.00")</f>
        <v>1</v>
      </c>
      <c r="AD65" s="65" t="b">
        <f>TEXT(导出!AD63,"#.00")=TEXT(计算!AD63, "#.00")</f>
        <v>1</v>
      </c>
      <c r="AE65" s="65" t="b">
        <f>ABS(导出!AE63-计算!AE63)&lt;10</f>
        <v>1</v>
      </c>
      <c r="AF65" s="65" t="b">
        <f>TEXT(ABS(导出!AF63),"#.00")=TEXT(ABS(计算!AF63), "#.00")</f>
        <v>1</v>
      </c>
      <c r="AG65" s="65" t="b">
        <f>TEXT(导出!AG63,"#.00")=TEXT(计算!AG63, "#.00")</f>
        <v>1</v>
      </c>
      <c r="AH65" s="65" t="b">
        <f>TEXT(导出!AH63,"#.00")=TEXT(计算!AH63, "#.00")</f>
        <v>1</v>
      </c>
      <c r="AI65">
        <v>0</v>
      </c>
      <c r="AJ65" s="3">
        <v>41912.686261574097</v>
      </c>
      <c r="AK65" s="2" t="s">
        <v>2140</v>
      </c>
    </row>
    <row r="66" spans="1:37" x14ac:dyDescent="0.15">
      <c r="A66" s="2" t="s">
        <v>2139</v>
      </c>
      <c r="B66">
        <v>87</v>
      </c>
      <c r="C66" s="3">
        <v>41244</v>
      </c>
      <c r="D66" s="2" t="s">
        <v>37</v>
      </c>
      <c r="E66" s="2" t="s">
        <v>2138</v>
      </c>
      <c r="F66" s="2" t="s">
        <v>41</v>
      </c>
      <c r="G66" s="2" t="s">
        <v>167</v>
      </c>
      <c r="H66" s="2" t="s">
        <v>168</v>
      </c>
      <c r="I66" s="65" t="b">
        <f>导出!I64=计算!I64</f>
        <v>1</v>
      </c>
      <c r="J66" s="65" t="b">
        <f>导出!J64=计算!J64</f>
        <v>1</v>
      </c>
      <c r="K66" s="65" t="b">
        <f>导出!K64=计算!K64</f>
        <v>1</v>
      </c>
      <c r="L66" s="65" t="b">
        <f>导出!L64=计算!L64</f>
        <v>1</v>
      </c>
      <c r="M66" s="65" t="b">
        <f>导出!M64=计算!M64</f>
        <v>1</v>
      </c>
      <c r="N66" s="65" t="b">
        <f>TEXT(导出!N64,"#.00")=TEXT(计算!N64, "#.00")</f>
        <v>0</v>
      </c>
      <c r="O66" s="65" t="b">
        <f>TEXT(导出!O64,"#.00")=TEXT(计算!O64, "#.00")</f>
        <v>1</v>
      </c>
      <c r="P66" s="65" t="b">
        <f>TEXT(导出!P64,"#.00")=TEXT(计算!P64, "#.00")</f>
        <v>1</v>
      </c>
      <c r="Q66" s="65" t="b">
        <f>TEXT(导出!Q64,"#.00")=TEXT(计算!Q64, "#.00")</f>
        <v>0</v>
      </c>
      <c r="R66" s="65" t="b">
        <f>TEXT(导出!R64,"#.00")=TEXT(计算!R64, "#.00")</f>
        <v>1</v>
      </c>
      <c r="S66" s="65" t="b">
        <f>TEXT(导出!S64,"#.00")=TEXT(计算!S64, "#.00")</f>
        <v>1</v>
      </c>
      <c r="T66" s="65" t="b">
        <f>TEXT(导出!T64,"#.00")=TEXT(计算!T64, "#.00")</f>
        <v>1</v>
      </c>
      <c r="U66" s="65" t="b">
        <f>TEXT(导出!U64,"#.00")=TEXT(计算!U64, "#.00")</f>
        <v>1</v>
      </c>
      <c r="V66" s="65" t="b">
        <f>TEXT(导出!V64,"#.00")=TEXT(计算!V64*100, "#.00")</f>
        <v>1</v>
      </c>
      <c r="W66" s="65" t="b">
        <f>TEXT(导出!W64,"#.00")=TEXT(计算!W64, "#.00")</f>
        <v>1</v>
      </c>
      <c r="X66" s="65" t="b">
        <f>TEXT(导出!X64,"#.00")=TEXT(计算!X64, "#.00")</f>
        <v>1</v>
      </c>
      <c r="Y66" s="65" t="b">
        <f>TEXT(导出!Y64,"#.00")=TEXT(计算!Y64, "#.00")</f>
        <v>1</v>
      </c>
      <c r="Z66" s="65" t="b">
        <f>TEXT(导出!Z64,"#.00")=TEXT(计算!Z64, "#.00")</f>
        <v>1</v>
      </c>
      <c r="AA66" s="65" t="b">
        <f>TEXT(导出!AA64,"#.00")=TEXT(计算!AA64*100, "#.00")</f>
        <v>1</v>
      </c>
      <c r="AB66" s="65" t="b">
        <f>TEXT(导出!AB64,"#.00")=TEXT(计算!AB64, "#.00")</f>
        <v>1</v>
      </c>
      <c r="AC66" s="65" t="b">
        <f>TEXT(导出!AC64,"#.00")=TEXT(计算!AC64, "#.00")</f>
        <v>1</v>
      </c>
      <c r="AD66" s="65" t="b">
        <f>TEXT(导出!AD64,"#.00")=TEXT(计算!AD64, "#.00")</f>
        <v>1</v>
      </c>
      <c r="AE66" s="65" t="b">
        <f>ABS(导出!AE64-计算!AE64)&lt;10</f>
        <v>1</v>
      </c>
      <c r="AF66" s="65" t="b">
        <f>TEXT(ABS(导出!AF64),"#.00")=TEXT(ABS(计算!AF64), "#.00")</f>
        <v>1</v>
      </c>
      <c r="AG66" s="65" t="b">
        <f>TEXT(导出!AG64,"#.00")=TEXT(计算!AG64, "#.00")</f>
        <v>1</v>
      </c>
      <c r="AH66" s="65" t="b">
        <f>TEXT(导出!AH64,"#.00")=TEXT(计算!AH64, "#.00")</f>
        <v>1</v>
      </c>
      <c r="AI66">
        <v>0</v>
      </c>
      <c r="AJ66" s="3">
        <v>41912.6862384259</v>
      </c>
      <c r="AK66" s="2" t="s">
        <v>2137</v>
      </c>
    </row>
    <row r="67" spans="1:37" x14ac:dyDescent="0.15">
      <c r="A67" s="2" t="s">
        <v>2136</v>
      </c>
      <c r="B67">
        <v>81</v>
      </c>
      <c r="C67" s="3">
        <v>41244</v>
      </c>
      <c r="D67" s="2" t="s">
        <v>37</v>
      </c>
      <c r="E67" s="2" t="s">
        <v>2135</v>
      </c>
      <c r="F67" s="2" t="s">
        <v>41</v>
      </c>
      <c r="G67" s="2" t="s">
        <v>169</v>
      </c>
      <c r="H67" s="2" t="s">
        <v>170</v>
      </c>
      <c r="I67" s="65" t="b">
        <f>导出!I65=计算!I65</f>
        <v>1</v>
      </c>
      <c r="J67" s="65" t="b">
        <f>导出!J65=计算!J65</f>
        <v>1</v>
      </c>
      <c r="K67" s="65" t="b">
        <f>导出!K65=计算!K65</f>
        <v>1</v>
      </c>
      <c r="L67" s="65" t="b">
        <f>导出!L65=计算!L65</f>
        <v>1</v>
      </c>
      <c r="M67" s="65" t="b">
        <f>导出!M65=计算!M65</f>
        <v>1</v>
      </c>
      <c r="N67" s="65" t="b">
        <f>TEXT(导出!N65,"#.00")=TEXT(计算!N65, "#.00")</f>
        <v>1</v>
      </c>
      <c r="O67" s="65" t="b">
        <f>TEXT(导出!O65,"#.00")=TEXT(计算!O65, "#.00")</f>
        <v>1</v>
      </c>
      <c r="P67" s="65" t="b">
        <f>TEXT(导出!P65,"#.00")=TEXT(计算!P65, "#.00")</f>
        <v>1</v>
      </c>
      <c r="Q67" s="65" t="b">
        <f>TEXT(导出!Q65,"#.00")=TEXT(计算!Q65, "#.00")</f>
        <v>1</v>
      </c>
      <c r="R67" s="65" t="b">
        <f>TEXT(导出!R65,"#.00")=TEXT(计算!R65, "#.00")</f>
        <v>1</v>
      </c>
      <c r="S67" s="65" t="b">
        <f>TEXT(导出!S65,"#.00")=TEXT(计算!S65, "#.00")</f>
        <v>1</v>
      </c>
      <c r="T67" s="65" t="b">
        <f>TEXT(导出!T65,"#.00")=TEXT(计算!T65, "#.00")</f>
        <v>1</v>
      </c>
      <c r="U67" s="65" t="b">
        <f>TEXT(导出!U65,"#.00")=TEXT(计算!U65, "#.00")</f>
        <v>1</v>
      </c>
      <c r="V67" s="65" t="b">
        <f>TEXT(导出!V65,"#.00")=TEXT(计算!V65*100, "#.00")</f>
        <v>1</v>
      </c>
      <c r="W67" s="65" t="b">
        <f>TEXT(导出!W65,"#.00")=TEXT(计算!W65, "#.00")</f>
        <v>1</v>
      </c>
      <c r="X67" s="65" t="b">
        <f>TEXT(导出!X65,"#.00")=TEXT(计算!X65, "#.00")</f>
        <v>1</v>
      </c>
      <c r="Y67" s="65" t="b">
        <f>TEXT(导出!Y65,"#.00")=TEXT(计算!Y65, "#.00")</f>
        <v>1</v>
      </c>
      <c r="Z67" s="65" t="b">
        <f>TEXT(导出!Z65,"#.00")=TEXT(计算!Z65, "#.00")</f>
        <v>1</v>
      </c>
      <c r="AA67" s="65" t="b">
        <f>TEXT(导出!AA65,"#.00")=TEXT(计算!AA65*100, "#.00")</f>
        <v>1</v>
      </c>
      <c r="AB67" s="65" t="b">
        <f>TEXT(导出!AB65,"#.00")=TEXT(计算!AB65, "#.00")</f>
        <v>1</v>
      </c>
      <c r="AC67" s="65" t="b">
        <f>TEXT(导出!AC65,"#.00")=TEXT(计算!AC65, "#.00")</f>
        <v>1</v>
      </c>
      <c r="AD67" s="65" t="b">
        <f>TEXT(导出!AD65,"#.00")=TEXT(计算!AD65, "#.00")</f>
        <v>1</v>
      </c>
      <c r="AE67" s="65" t="b">
        <f>ABS(导出!AE65-计算!AE65)&lt;10</f>
        <v>1</v>
      </c>
      <c r="AF67" s="65" t="b">
        <f>TEXT(ABS(导出!AF65),"#.00")=TEXT(ABS(计算!AF65), "#.00")</f>
        <v>1</v>
      </c>
      <c r="AG67" s="65" t="b">
        <f>TEXT(导出!AG65,"#.00")=TEXT(计算!AG65, "#.00")</f>
        <v>1</v>
      </c>
      <c r="AH67" s="65" t="b">
        <f>TEXT(导出!AH65,"#.00")=TEXT(计算!AH65, "#.00")</f>
        <v>1</v>
      </c>
      <c r="AI67">
        <v>0</v>
      </c>
      <c r="AJ67" s="3">
        <v>41912.6862384259</v>
      </c>
      <c r="AK67" s="2" t="s">
        <v>2134</v>
      </c>
    </row>
    <row r="68" spans="1:37" x14ac:dyDescent="0.15">
      <c r="A68" s="2" t="s">
        <v>2133</v>
      </c>
      <c r="B68">
        <v>89</v>
      </c>
      <c r="C68" s="3">
        <v>41244</v>
      </c>
      <c r="D68" s="2" t="s">
        <v>37</v>
      </c>
      <c r="E68" s="2" t="s">
        <v>2132</v>
      </c>
      <c r="F68" s="2" t="s">
        <v>41</v>
      </c>
      <c r="G68" s="2" t="s">
        <v>171</v>
      </c>
      <c r="H68" s="2" t="s">
        <v>172</v>
      </c>
      <c r="I68" s="65" t="b">
        <f>导出!I66=计算!I66</f>
        <v>1</v>
      </c>
      <c r="J68" s="65" t="b">
        <f>导出!J66=计算!J66</f>
        <v>1</v>
      </c>
      <c r="K68" s="65" t="b">
        <f>导出!K66=计算!K66</f>
        <v>1</v>
      </c>
      <c r="L68" s="65" t="b">
        <f>导出!L66=计算!L66</f>
        <v>1</v>
      </c>
      <c r="M68" s="65" t="b">
        <f>导出!M66=计算!M66</f>
        <v>1</v>
      </c>
      <c r="N68" s="65" t="b">
        <f>TEXT(导出!N66,"#.00")=TEXT(计算!N66, "#.00")</f>
        <v>1</v>
      </c>
      <c r="O68" s="65" t="b">
        <f>TEXT(导出!O66,"#.00")=TEXT(计算!O66, "#.00")</f>
        <v>1</v>
      </c>
      <c r="P68" s="65" t="b">
        <f>TEXT(导出!P66,"#.00")=TEXT(计算!P66, "#.00")</f>
        <v>1</v>
      </c>
      <c r="Q68" s="65" t="b">
        <f>TEXT(导出!Q66,"#.00")=TEXT(计算!Q66, "#.00")</f>
        <v>1</v>
      </c>
      <c r="R68" s="65" t="b">
        <f>TEXT(导出!R66,"#.00")=TEXT(计算!R66, "#.00")</f>
        <v>1</v>
      </c>
      <c r="S68" s="65" t="b">
        <f>TEXT(导出!S66,"#.00")=TEXT(计算!S66, "#.00")</f>
        <v>1</v>
      </c>
      <c r="T68" s="65" t="b">
        <f>TEXT(导出!T66,"#.00")=TEXT(计算!T66, "#.00")</f>
        <v>1</v>
      </c>
      <c r="U68" s="65" t="b">
        <f>TEXT(导出!U66,"#.00")=TEXT(计算!U66, "#.00")</f>
        <v>1</v>
      </c>
      <c r="V68" s="65" t="b">
        <f>TEXT(导出!V66,"#.00")=TEXT(计算!V66*100, "#.00")</f>
        <v>1</v>
      </c>
      <c r="W68" s="65" t="b">
        <f>TEXT(导出!W66,"#.00")=TEXT(计算!W66, "#.00")</f>
        <v>1</v>
      </c>
      <c r="X68" s="65" t="b">
        <f>TEXT(导出!X66,"#.00")=TEXT(计算!X66, "#.00")</f>
        <v>1</v>
      </c>
      <c r="Y68" s="65" t="b">
        <f>TEXT(导出!Y66,"#.00")=TEXT(计算!Y66, "#.00")</f>
        <v>1</v>
      </c>
      <c r="Z68" s="65" t="b">
        <f>TEXT(导出!Z66,"#.00")=TEXT(计算!Z66, "#.00")</f>
        <v>1</v>
      </c>
      <c r="AA68" s="65" t="b">
        <f>TEXT(导出!AA66,"#.00")=TEXT(计算!AA66*100, "#.00")</f>
        <v>1</v>
      </c>
      <c r="AB68" s="65" t="b">
        <f>TEXT(导出!AB66,"#.00")=TEXT(计算!AB66, "#.00")</f>
        <v>1</v>
      </c>
      <c r="AC68" s="65" t="b">
        <f>TEXT(导出!AC66,"#.00")=TEXT(计算!AC66, "#.00")</f>
        <v>1</v>
      </c>
      <c r="AD68" s="65" t="b">
        <f>TEXT(导出!AD66,"#.00")=TEXT(计算!AD66, "#.00")</f>
        <v>1</v>
      </c>
      <c r="AE68" s="65" t="b">
        <f>ABS(导出!AE66-计算!AE66)&lt;10</f>
        <v>1</v>
      </c>
      <c r="AF68" s="65" t="b">
        <f>TEXT(ABS(导出!AF66),"#.00")=TEXT(ABS(计算!AF66), "#.00")</f>
        <v>1</v>
      </c>
      <c r="AG68" s="65" t="b">
        <f>TEXT(导出!AG66,"#.00")=TEXT(计算!AG66, "#.00")</f>
        <v>1</v>
      </c>
      <c r="AH68" s="65" t="b">
        <f>TEXT(导出!AH66,"#.00")=TEXT(计算!AH66, "#.00")</f>
        <v>1</v>
      </c>
      <c r="AI68">
        <v>0</v>
      </c>
      <c r="AJ68" s="3">
        <v>41912.6862384259</v>
      </c>
      <c r="AK68" s="2" t="s">
        <v>2131</v>
      </c>
    </row>
    <row r="69" spans="1:37" x14ac:dyDescent="0.15">
      <c r="A69" s="2" t="s">
        <v>2130</v>
      </c>
      <c r="B69">
        <v>82</v>
      </c>
      <c r="C69" s="3">
        <v>41244</v>
      </c>
      <c r="D69" s="2" t="s">
        <v>37</v>
      </c>
      <c r="E69" s="2" t="s">
        <v>2129</v>
      </c>
      <c r="F69" s="2" t="s">
        <v>41</v>
      </c>
      <c r="G69" s="2" t="s">
        <v>175</v>
      </c>
      <c r="H69" s="2" t="s">
        <v>170</v>
      </c>
      <c r="I69" s="65" t="b">
        <f>导出!I67=计算!I67</f>
        <v>1</v>
      </c>
      <c r="J69" s="65" t="b">
        <f>导出!J67=计算!J67</f>
        <v>1</v>
      </c>
      <c r="K69" s="65" t="b">
        <f>导出!K67=计算!K67</f>
        <v>1</v>
      </c>
      <c r="L69" s="65" t="b">
        <f>导出!L67=计算!L67</f>
        <v>1</v>
      </c>
      <c r="M69" s="65" t="b">
        <f>导出!M67=计算!M67</f>
        <v>1</v>
      </c>
      <c r="N69" s="65" t="b">
        <f>TEXT(导出!N67,"#.00")=TEXT(计算!N67, "#.00")</f>
        <v>1</v>
      </c>
      <c r="O69" s="65" t="b">
        <f>TEXT(导出!O67,"#.00")=TEXT(计算!O67, "#.00")</f>
        <v>1</v>
      </c>
      <c r="P69" s="65" t="b">
        <f>TEXT(导出!P67,"#.00")=TEXT(计算!P67, "#.00")</f>
        <v>1</v>
      </c>
      <c r="Q69" s="65" t="b">
        <f>TEXT(导出!Q67,"#.00")=TEXT(计算!Q67, "#.00")</f>
        <v>1</v>
      </c>
      <c r="R69" s="65" t="b">
        <f>TEXT(导出!R67,"#.00")=TEXT(计算!R67, "#.00")</f>
        <v>1</v>
      </c>
      <c r="S69" s="65" t="b">
        <f>TEXT(导出!S67,"#.00")=TEXT(计算!S67, "#.00")</f>
        <v>1</v>
      </c>
      <c r="T69" s="65" t="b">
        <f>TEXT(导出!T67,"#.00")=TEXT(计算!T67, "#.00")</f>
        <v>1</v>
      </c>
      <c r="U69" s="65" t="b">
        <f>TEXT(导出!U67,"#.00")=TEXT(计算!U67, "#.00")</f>
        <v>1</v>
      </c>
      <c r="V69" s="65" t="b">
        <f>TEXT(导出!V67,"#.00")=TEXT(计算!V67*100, "#.00")</f>
        <v>1</v>
      </c>
      <c r="W69" s="65" t="b">
        <f>TEXT(导出!W67,"#.00")=TEXT(计算!W67, "#.00")</f>
        <v>1</v>
      </c>
      <c r="X69" s="65" t="b">
        <f>TEXT(导出!X67,"#.00")=TEXT(计算!X67, "#.00")</f>
        <v>1</v>
      </c>
      <c r="Y69" s="65" t="b">
        <f>TEXT(导出!Y67,"#.00")=TEXT(计算!Y67, "#.00")</f>
        <v>1</v>
      </c>
      <c r="Z69" s="65" t="b">
        <f>TEXT(导出!Z67,"#.00")=TEXT(计算!Z67, "#.00")</f>
        <v>1</v>
      </c>
      <c r="AA69" s="65" t="b">
        <f>TEXT(导出!AA67,"#.00")=TEXT(计算!AA67*100, "#.00")</f>
        <v>1</v>
      </c>
      <c r="AB69" s="65" t="b">
        <f>TEXT(导出!AB67,"#.00")=TEXT(计算!AB67, "#.00")</f>
        <v>1</v>
      </c>
      <c r="AC69" s="65" t="b">
        <f>TEXT(导出!AC67,"#.00")=TEXT(计算!AC67, "#.00")</f>
        <v>1</v>
      </c>
      <c r="AD69" s="65" t="b">
        <f>TEXT(导出!AD67,"#.00")=TEXT(计算!AD67, "#.00")</f>
        <v>1</v>
      </c>
      <c r="AE69" s="65" t="b">
        <f>ABS(导出!AE67-计算!AE67)&lt;10</f>
        <v>1</v>
      </c>
      <c r="AF69" s="65" t="b">
        <f>TEXT(ABS(导出!AF67),"#.00")=TEXT(ABS(计算!AF67), "#.00")</f>
        <v>1</v>
      </c>
      <c r="AG69" s="65" t="b">
        <f>TEXT(导出!AG67,"#.00")=TEXT(计算!AG67, "#.00")</f>
        <v>1</v>
      </c>
      <c r="AH69" s="65" t="b">
        <f>TEXT(导出!AH67,"#.00")=TEXT(计算!AH67, "#.00")</f>
        <v>1</v>
      </c>
      <c r="AI69">
        <v>0</v>
      </c>
      <c r="AJ69" s="3">
        <v>41912.6862384259</v>
      </c>
      <c r="AK69" s="2" t="s">
        <v>2128</v>
      </c>
    </row>
    <row r="70" spans="1:37" x14ac:dyDescent="0.15">
      <c r="A70" s="2" t="s">
        <v>2127</v>
      </c>
      <c r="B70">
        <v>94</v>
      </c>
      <c r="C70" s="3">
        <v>41244</v>
      </c>
      <c r="D70" s="2" t="s">
        <v>37</v>
      </c>
      <c r="E70" s="2" t="s">
        <v>2126</v>
      </c>
      <c r="F70" s="2" t="s">
        <v>41</v>
      </c>
      <c r="G70" s="2" t="s">
        <v>173</v>
      </c>
      <c r="H70" s="2" t="s">
        <v>174</v>
      </c>
      <c r="I70" s="65" t="b">
        <f>导出!I68=计算!I68</f>
        <v>1</v>
      </c>
      <c r="J70" s="65" t="b">
        <f>导出!J68=计算!J68</f>
        <v>1</v>
      </c>
      <c r="K70" s="65" t="b">
        <f>导出!K68=计算!K68</f>
        <v>1</v>
      </c>
      <c r="L70" s="65" t="b">
        <f>导出!L68=计算!L68</f>
        <v>1</v>
      </c>
      <c r="M70" s="65" t="b">
        <f>导出!M68=计算!M68</f>
        <v>1</v>
      </c>
      <c r="N70" s="65" t="b">
        <f>TEXT(导出!N68,"#.00")=TEXT(计算!N68, "#.00")</f>
        <v>0</v>
      </c>
      <c r="O70" s="65" t="b">
        <f>TEXT(导出!O68,"#.00")=TEXT(计算!O68, "#.00")</f>
        <v>1</v>
      </c>
      <c r="P70" s="65" t="b">
        <f>TEXT(导出!P68,"#.00")=TEXT(计算!P68, "#.00")</f>
        <v>1</v>
      </c>
      <c r="Q70" s="65" t="b">
        <f>TEXT(导出!Q68,"#.00")=TEXT(计算!Q68, "#.00")</f>
        <v>0</v>
      </c>
      <c r="R70" s="65" t="b">
        <f>TEXT(导出!R68,"#.00")=TEXT(计算!R68, "#.00")</f>
        <v>1</v>
      </c>
      <c r="S70" s="65" t="b">
        <f>TEXT(导出!S68,"#.00")=TEXT(计算!S68, "#.00")</f>
        <v>1</v>
      </c>
      <c r="T70" s="65" t="b">
        <f>TEXT(导出!T68,"#.00")=TEXT(计算!T68, "#.00")</f>
        <v>1</v>
      </c>
      <c r="U70" s="65" t="b">
        <f>TEXT(导出!U68,"#.00")=TEXT(计算!U68, "#.00")</f>
        <v>1</v>
      </c>
      <c r="V70" s="65" t="b">
        <f>TEXT(导出!V68,"#.00")=TEXT(计算!V68*100, "#.00")</f>
        <v>0</v>
      </c>
      <c r="W70" s="65" t="b">
        <f>TEXT(导出!W68,"#.00")=TEXT(计算!W68, "#.00")</f>
        <v>1</v>
      </c>
      <c r="X70" s="65" t="b">
        <f>TEXT(导出!X68,"#.00")=TEXT(计算!X68, "#.00")</f>
        <v>1</v>
      </c>
      <c r="Y70" s="65" t="b">
        <f>TEXT(导出!Y68,"#.00")=TEXT(计算!Y68, "#.00")</f>
        <v>1</v>
      </c>
      <c r="Z70" s="65" t="b">
        <f>TEXT(导出!Z68,"#.00")=TEXT(计算!Z68, "#.00")</f>
        <v>1</v>
      </c>
      <c r="AA70" s="65" t="b">
        <f>TEXT(导出!AA68,"#.00")=TEXT(计算!AA68*100, "#.00")</f>
        <v>1</v>
      </c>
      <c r="AB70" s="65" t="b">
        <f>TEXT(导出!AB68,"#.00")=TEXT(计算!AB68, "#.00")</f>
        <v>1</v>
      </c>
      <c r="AC70" s="65" t="b">
        <f>TEXT(导出!AC68,"#.00")=TEXT(计算!AC68, "#.00")</f>
        <v>1</v>
      </c>
      <c r="AD70" s="65" t="b">
        <f>TEXT(导出!AD68,"#.00")=TEXT(计算!AD68, "#.00")</f>
        <v>1</v>
      </c>
      <c r="AE70" s="65" t="b">
        <f>ABS(导出!AE68-计算!AE68)&lt;10</f>
        <v>1</v>
      </c>
      <c r="AF70" s="65" t="b">
        <f>TEXT(ABS(导出!AF68),"#.00")=TEXT(ABS(计算!AF68), "#.00")</f>
        <v>1</v>
      </c>
      <c r="AG70" s="65" t="b">
        <f>TEXT(导出!AG68,"#.00")=TEXT(计算!AG68, "#.00")</f>
        <v>1</v>
      </c>
      <c r="AH70" s="65" t="b">
        <f>TEXT(导出!AH68,"#.00")=TEXT(计算!AH68, "#.00")</f>
        <v>1</v>
      </c>
      <c r="AI70">
        <v>0</v>
      </c>
      <c r="AJ70" s="3">
        <v>41912.6862384259</v>
      </c>
      <c r="AK70" s="2" t="s">
        <v>2125</v>
      </c>
    </row>
    <row r="71" spans="1:37" x14ac:dyDescent="0.15">
      <c r="A71" s="2" t="s">
        <v>2124</v>
      </c>
      <c r="B71">
        <v>99</v>
      </c>
      <c r="C71" s="3">
        <v>41275</v>
      </c>
      <c r="D71" s="2" t="s">
        <v>37</v>
      </c>
      <c r="E71" s="2" t="s">
        <v>2123</v>
      </c>
      <c r="F71" s="2" t="s">
        <v>41</v>
      </c>
      <c r="G71" s="2" t="s">
        <v>176</v>
      </c>
      <c r="H71" s="2" t="s">
        <v>177</v>
      </c>
      <c r="I71" s="65" t="b">
        <f>导出!I69=计算!I69</f>
        <v>1</v>
      </c>
      <c r="J71" s="65" t="b">
        <f>导出!J69=计算!J69</f>
        <v>1</v>
      </c>
      <c r="K71" s="65" t="b">
        <f>导出!K69=计算!K69</f>
        <v>1</v>
      </c>
      <c r="L71" s="65" t="b">
        <f>导出!L69=计算!L69</f>
        <v>1</v>
      </c>
      <c r="M71" s="65" t="b">
        <f>导出!M69=计算!M69</f>
        <v>1</v>
      </c>
      <c r="N71" s="65" t="b">
        <f>TEXT(导出!N69,"#.00")=TEXT(计算!N69, "#.00")</f>
        <v>0</v>
      </c>
      <c r="O71" s="65" t="b">
        <f>TEXT(导出!O69,"#.00")=TEXT(计算!O69, "#.00")</f>
        <v>1</v>
      </c>
      <c r="P71" s="65" t="b">
        <f>TEXT(导出!P69,"#.00")=TEXT(计算!P69, "#.00")</f>
        <v>1</v>
      </c>
      <c r="Q71" s="65" t="b">
        <f>TEXT(导出!Q69,"#.00")=TEXT(计算!Q69, "#.00")</f>
        <v>0</v>
      </c>
      <c r="R71" s="65" t="b">
        <f>TEXT(导出!R69,"#.00")=TEXT(计算!R69, "#.00")</f>
        <v>1</v>
      </c>
      <c r="S71" s="65" t="b">
        <f>TEXT(导出!S69,"#.00")=TEXT(计算!S69, "#.00")</f>
        <v>1</v>
      </c>
      <c r="T71" s="65" t="b">
        <f>TEXT(导出!T69,"#.00")=TEXT(计算!T69, "#.00")</f>
        <v>1</v>
      </c>
      <c r="U71" s="65" t="b">
        <f>TEXT(导出!U69,"#.00")=TEXT(计算!U69, "#.00")</f>
        <v>1</v>
      </c>
      <c r="V71" s="65" t="b">
        <f>TEXT(导出!V69,"#.00")=TEXT(计算!V69*100, "#.00")</f>
        <v>0</v>
      </c>
      <c r="W71" s="65" t="b">
        <f>TEXT(导出!W69,"#.00")=TEXT(计算!W69, "#.00")</f>
        <v>1</v>
      </c>
      <c r="X71" s="65" t="b">
        <f>TEXT(导出!X69,"#.00")=TEXT(计算!X69, "#.00")</f>
        <v>1</v>
      </c>
      <c r="Y71" s="65" t="b">
        <f>TEXT(导出!Y69,"#.00")=TEXT(计算!Y69, "#.00")</f>
        <v>1</v>
      </c>
      <c r="Z71" s="65" t="b">
        <f>TEXT(导出!Z69,"#.00")=TEXT(计算!Z69, "#.00")</f>
        <v>1</v>
      </c>
      <c r="AA71" s="65" t="b">
        <f>TEXT(导出!AA69,"#.00")=TEXT(计算!AA69*100, "#.00")</f>
        <v>1</v>
      </c>
      <c r="AB71" s="65" t="b">
        <f>TEXT(导出!AB69,"#.00")=TEXT(计算!AB69, "#.00")</f>
        <v>1</v>
      </c>
      <c r="AC71" s="65" t="b">
        <f>TEXT(导出!AC69,"#.00")=TEXT(计算!AC69, "#.00")</f>
        <v>1</v>
      </c>
      <c r="AD71" s="65" t="b">
        <f>TEXT(导出!AD69,"#.00")=TEXT(计算!AD69, "#.00")</f>
        <v>1</v>
      </c>
      <c r="AE71" s="65" t="b">
        <f>ABS(导出!AE69-计算!AE69)&lt;10</f>
        <v>1</v>
      </c>
      <c r="AF71" s="65" t="b">
        <f>TEXT(ABS(导出!AF69),"#.00")=TEXT(ABS(计算!AF69), "#.00")</f>
        <v>1</v>
      </c>
      <c r="AG71" s="65" t="b">
        <f>TEXT(导出!AG69,"#.00")=TEXT(计算!AG69, "#.00")</f>
        <v>1</v>
      </c>
      <c r="AH71" s="65" t="b">
        <f>TEXT(导出!AH69,"#.00")=TEXT(计算!AH69, "#.00")</f>
        <v>1</v>
      </c>
      <c r="AI71">
        <v>0</v>
      </c>
      <c r="AJ71" s="3">
        <v>41912.6862384259</v>
      </c>
      <c r="AK71" s="2" t="s">
        <v>2122</v>
      </c>
    </row>
    <row r="72" spans="1:37" x14ac:dyDescent="0.15">
      <c r="A72" s="2" t="s">
        <v>2121</v>
      </c>
      <c r="B72">
        <v>665</v>
      </c>
      <c r="C72" s="3">
        <v>41284</v>
      </c>
      <c r="D72" s="2" t="s">
        <v>37</v>
      </c>
      <c r="E72" s="2" t="s">
        <v>2120</v>
      </c>
      <c r="F72" s="2" t="s">
        <v>38</v>
      </c>
      <c r="G72" s="2" t="s">
        <v>178</v>
      </c>
      <c r="H72" s="2" t="s">
        <v>179</v>
      </c>
      <c r="I72" s="65" t="b">
        <f>导出!I70=计算!I70</f>
        <v>1</v>
      </c>
      <c r="J72" s="65" t="b">
        <f>导出!J70=计算!J70</f>
        <v>1</v>
      </c>
      <c r="K72" s="65" t="b">
        <f>导出!K70=计算!K70</f>
        <v>1</v>
      </c>
      <c r="L72" s="65" t="b">
        <f>导出!L70=计算!L70</f>
        <v>1</v>
      </c>
      <c r="M72" s="65" t="b">
        <f>导出!M70=计算!M70</f>
        <v>1</v>
      </c>
      <c r="N72" s="65" t="b">
        <f>TEXT(导出!N70,"#.00")=TEXT(计算!N70, "#.00")</f>
        <v>1</v>
      </c>
      <c r="O72" s="65" t="b">
        <f>TEXT(导出!O70,"#.00")=TEXT(计算!O70, "#.00")</f>
        <v>1</v>
      </c>
      <c r="P72" s="65" t="b">
        <f>TEXT(导出!P70,"#.00")=TEXT(计算!P70, "#.00")</f>
        <v>1</v>
      </c>
      <c r="Q72" s="65" t="b">
        <f>TEXT(导出!Q70,"#.00")=TEXT(计算!Q70, "#.00")</f>
        <v>0</v>
      </c>
      <c r="R72" s="65" t="b">
        <f>TEXT(导出!R70,"#.00")=TEXT(计算!R70, "#.00")</f>
        <v>1</v>
      </c>
      <c r="S72" s="65" t="b">
        <f>TEXT(导出!S70,"#.00")=TEXT(计算!S70, "#.00")</f>
        <v>1</v>
      </c>
      <c r="T72" s="65" t="b">
        <f>TEXT(导出!T70,"#.00")=TEXT(计算!T70, "#.00")</f>
        <v>1</v>
      </c>
      <c r="U72" s="65" t="b">
        <f>TEXT(导出!U70,"#.00")=TEXT(计算!U70, "#.00")</f>
        <v>1</v>
      </c>
      <c r="V72" s="65" t="b">
        <f>TEXT(导出!V70,"#.00")=TEXT(计算!V70*100, "#.00")</f>
        <v>1</v>
      </c>
      <c r="W72" s="65" t="b">
        <f>TEXT(导出!W70,"#.00")=TEXT(计算!W70, "#.00")</f>
        <v>1</v>
      </c>
      <c r="X72" s="65" t="b">
        <f>TEXT(导出!X70,"#.00")=TEXT(计算!X70, "#.00")</f>
        <v>1</v>
      </c>
      <c r="Y72" s="65" t="b">
        <f>TEXT(导出!Y70,"#.00")=TEXT(计算!Y70, "#.00")</f>
        <v>1</v>
      </c>
      <c r="Z72" s="65" t="b">
        <f>TEXT(导出!Z70,"#.00")=TEXT(计算!Z70, "#.00")</f>
        <v>1</v>
      </c>
      <c r="AA72" s="65" t="b">
        <f>TEXT(导出!AA70,"#.00")=TEXT(计算!AA70*100, "#.00")</f>
        <v>1</v>
      </c>
      <c r="AB72" s="65" t="b">
        <f>TEXT(导出!AB70,"#.00")=TEXT(计算!AB70, "#.00")</f>
        <v>1</v>
      </c>
      <c r="AC72" s="65" t="b">
        <f>TEXT(导出!AC70,"#.00")=TEXT(计算!AC70, "#.00")</f>
        <v>1</v>
      </c>
      <c r="AD72" s="65" t="b">
        <f>TEXT(导出!AD70,"#.00")=TEXT(计算!AD70, "#.00")</f>
        <v>1</v>
      </c>
      <c r="AE72" s="65" t="b">
        <f>ABS(导出!AE70-计算!AE70)&lt;10</f>
        <v>1</v>
      </c>
      <c r="AF72" s="65" t="b">
        <f>TEXT(ABS(导出!AF70),"#.00")=TEXT(ABS(计算!AF70), "#.00")</f>
        <v>1</v>
      </c>
      <c r="AG72" s="65" t="b">
        <f>TEXT(导出!AG70,"#.00")=TEXT(计算!AG70, "#.00")</f>
        <v>1</v>
      </c>
      <c r="AH72" s="65" t="b">
        <f>TEXT(导出!AH70,"#.00")=TEXT(计算!AH70, "#.00")</f>
        <v>1</v>
      </c>
      <c r="AI72">
        <v>0</v>
      </c>
      <c r="AJ72" s="3">
        <v>41912.686261574097</v>
      </c>
      <c r="AK72" s="2" t="s">
        <v>2119</v>
      </c>
    </row>
    <row r="73" spans="1:37" x14ac:dyDescent="0.15">
      <c r="A73" s="2" t="s">
        <v>2118</v>
      </c>
      <c r="B73">
        <v>682</v>
      </c>
      <c r="C73" s="3">
        <v>41294</v>
      </c>
      <c r="D73" s="2" t="s">
        <v>37</v>
      </c>
      <c r="E73" s="2" t="s">
        <v>2117</v>
      </c>
      <c r="F73" s="2" t="s">
        <v>38</v>
      </c>
      <c r="G73" s="2" t="s">
        <v>180</v>
      </c>
      <c r="H73" s="2" t="s">
        <v>181</v>
      </c>
      <c r="I73" s="65" t="b">
        <f>导出!I71=计算!I71</f>
        <v>1</v>
      </c>
      <c r="J73" s="65" t="b">
        <f>导出!J71=计算!J71</f>
        <v>1</v>
      </c>
      <c r="K73" s="65" t="b">
        <f>导出!K71=计算!K71</f>
        <v>1</v>
      </c>
      <c r="L73" s="65" t="b">
        <f>导出!L71=计算!L71</f>
        <v>1</v>
      </c>
      <c r="M73" s="65" t="b">
        <f>导出!M71=计算!M71</f>
        <v>1</v>
      </c>
      <c r="N73" s="65" t="b">
        <f>TEXT(导出!N71,"#.00")=TEXT(计算!N71, "#.00")</f>
        <v>1</v>
      </c>
      <c r="O73" s="65" t="b">
        <f>TEXT(导出!O71,"#.00")=TEXT(计算!O71, "#.00")</f>
        <v>1</v>
      </c>
      <c r="P73" s="65" t="b">
        <f>TEXT(导出!P71,"#.00")=TEXT(计算!P71, "#.00")</f>
        <v>1</v>
      </c>
      <c r="Q73" s="65" t="b">
        <f>TEXT(导出!Q71,"#.00")=TEXT(计算!Q71, "#.00")</f>
        <v>0</v>
      </c>
      <c r="R73" s="65" t="b">
        <f>TEXT(导出!R71,"#.00")=TEXT(计算!R71, "#.00")</f>
        <v>1</v>
      </c>
      <c r="S73" s="65" t="b">
        <f>TEXT(导出!S71,"#.00")=TEXT(计算!S71, "#.00")</f>
        <v>1</v>
      </c>
      <c r="T73" s="65" t="b">
        <f>TEXT(导出!T71,"#.00")=TEXT(计算!T71, "#.00")</f>
        <v>1</v>
      </c>
      <c r="U73" s="65" t="b">
        <f>TEXT(导出!U71,"#.00")=TEXT(计算!U71, "#.00")</f>
        <v>1</v>
      </c>
      <c r="V73" s="65" t="b">
        <f>TEXT(导出!V71,"#.00")=TEXT(计算!V71*100, "#.00")</f>
        <v>1</v>
      </c>
      <c r="W73" s="65" t="b">
        <f>TEXT(导出!W71,"#.00")=TEXT(计算!W71, "#.00")</f>
        <v>1</v>
      </c>
      <c r="X73" s="65" t="b">
        <f>TEXT(导出!X71,"#.00")=TEXT(计算!X71, "#.00")</f>
        <v>1</v>
      </c>
      <c r="Y73" s="65" t="b">
        <f>TEXT(导出!Y71,"#.00")=TEXT(计算!Y71, "#.00")</f>
        <v>1</v>
      </c>
      <c r="Z73" s="65" t="b">
        <f>TEXT(导出!Z71,"#.00")=TEXT(计算!Z71, "#.00")</f>
        <v>1</v>
      </c>
      <c r="AA73" s="65" t="b">
        <f>TEXT(导出!AA71,"#.00")=TEXT(计算!AA71*100, "#.00")</f>
        <v>1</v>
      </c>
      <c r="AB73" s="65" t="b">
        <f>TEXT(导出!AB71,"#.00")=TEXT(计算!AB71, "#.00")</f>
        <v>1</v>
      </c>
      <c r="AC73" s="65" t="b">
        <f>TEXT(导出!AC71,"#.00")=TEXT(计算!AC71, "#.00")</f>
        <v>1</v>
      </c>
      <c r="AD73" s="65" t="b">
        <f>TEXT(导出!AD71,"#.00")=TEXT(计算!AD71, "#.00")</f>
        <v>1</v>
      </c>
      <c r="AE73" s="65" t="b">
        <f>ABS(导出!AE71-计算!AE71)&lt;10</f>
        <v>1</v>
      </c>
      <c r="AF73" s="65" t="b">
        <f>TEXT(ABS(导出!AF71),"#.00")=TEXT(ABS(计算!AF71), "#.00")</f>
        <v>1</v>
      </c>
      <c r="AG73" s="65" t="b">
        <f>TEXT(导出!AG71,"#.00")=TEXT(计算!AG71, "#.00")</f>
        <v>1</v>
      </c>
      <c r="AH73" s="65" t="b">
        <f>TEXT(导出!AH71,"#.00")=TEXT(计算!AH71, "#.00")</f>
        <v>1</v>
      </c>
      <c r="AI73">
        <v>0</v>
      </c>
      <c r="AJ73" s="3">
        <v>41912.686261574097</v>
      </c>
      <c r="AK73" s="2" t="s">
        <v>2116</v>
      </c>
    </row>
    <row r="74" spans="1:37" x14ac:dyDescent="0.15">
      <c r="A74" s="2" t="s">
        <v>2115</v>
      </c>
      <c r="B74">
        <v>698</v>
      </c>
      <c r="C74" s="3">
        <v>41294</v>
      </c>
      <c r="D74" s="2" t="s">
        <v>37</v>
      </c>
      <c r="E74" s="2" t="s">
        <v>2114</v>
      </c>
      <c r="F74" s="2" t="s">
        <v>38</v>
      </c>
      <c r="G74" s="2" t="s">
        <v>182</v>
      </c>
      <c r="H74" s="2" t="s">
        <v>183</v>
      </c>
      <c r="I74" s="65" t="b">
        <f>导出!I72=计算!I72</f>
        <v>1</v>
      </c>
      <c r="J74" s="65" t="b">
        <f>导出!J72=计算!J72</f>
        <v>1</v>
      </c>
      <c r="K74" s="65" t="b">
        <f>导出!K72=计算!K72</f>
        <v>1</v>
      </c>
      <c r="L74" s="65" t="b">
        <f>导出!L72=计算!L72</f>
        <v>1</v>
      </c>
      <c r="M74" s="65" t="b">
        <f>导出!M72=计算!M72</f>
        <v>1</v>
      </c>
      <c r="N74" s="65" t="b">
        <f>TEXT(导出!N72,"#.00")=TEXT(计算!N72, "#.00")</f>
        <v>1</v>
      </c>
      <c r="O74" s="65" t="b">
        <f>TEXT(导出!O72,"#.00")=TEXT(计算!O72, "#.00")</f>
        <v>1</v>
      </c>
      <c r="P74" s="65" t="b">
        <f>TEXT(导出!P72,"#.00")=TEXT(计算!P72, "#.00")</f>
        <v>1</v>
      </c>
      <c r="Q74" s="65" t="b">
        <f>TEXT(导出!Q72,"#.00")=TEXT(计算!Q72, "#.00")</f>
        <v>0</v>
      </c>
      <c r="R74" s="65" t="b">
        <f>TEXT(导出!R72,"#.00")=TEXT(计算!R72, "#.00")</f>
        <v>1</v>
      </c>
      <c r="S74" s="65" t="b">
        <f>TEXT(导出!S72,"#.00")=TEXT(计算!S72, "#.00")</f>
        <v>1</v>
      </c>
      <c r="T74" s="65" t="b">
        <f>TEXT(导出!T72,"#.00")=TEXT(计算!T72, "#.00")</f>
        <v>1</v>
      </c>
      <c r="U74" s="65" t="b">
        <f>TEXT(导出!U72,"#.00")=TEXT(计算!U72, "#.00")</f>
        <v>1</v>
      </c>
      <c r="V74" s="65" t="b">
        <f>TEXT(导出!V72,"#.00")=TEXT(计算!V72*100, "#.00")</f>
        <v>1</v>
      </c>
      <c r="W74" s="65" t="b">
        <f>TEXT(导出!W72,"#.00")=TEXT(计算!W72, "#.00")</f>
        <v>1</v>
      </c>
      <c r="X74" s="65" t="b">
        <f>TEXT(导出!X72,"#.00")=TEXT(计算!X72, "#.00")</f>
        <v>1</v>
      </c>
      <c r="Y74" s="65" t="b">
        <f>TEXT(导出!Y72,"#.00")=TEXT(计算!Y72, "#.00")</f>
        <v>1</v>
      </c>
      <c r="Z74" s="65" t="b">
        <f>TEXT(导出!Z72,"#.00")=TEXT(计算!Z72, "#.00")</f>
        <v>1</v>
      </c>
      <c r="AA74" s="65" t="b">
        <f>TEXT(导出!AA72,"#.00")=TEXT(计算!AA72*100, "#.00")</f>
        <v>1</v>
      </c>
      <c r="AB74" s="65" t="b">
        <f>TEXT(导出!AB72,"#.00")=TEXT(计算!AB72, "#.00")</f>
        <v>1</v>
      </c>
      <c r="AC74" s="65" t="b">
        <f>TEXT(导出!AC72,"#.00")=TEXT(计算!AC72, "#.00")</f>
        <v>1</v>
      </c>
      <c r="AD74" s="65" t="b">
        <f>TEXT(导出!AD72,"#.00")=TEXT(计算!AD72, "#.00")</f>
        <v>1</v>
      </c>
      <c r="AE74" s="65" t="b">
        <f>ABS(导出!AE72-计算!AE72)&lt;10</f>
        <v>1</v>
      </c>
      <c r="AF74" s="65" t="b">
        <f>TEXT(ABS(导出!AF72),"#.00")=TEXT(ABS(计算!AF72), "#.00")</f>
        <v>1</v>
      </c>
      <c r="AG74" s="65" t="b">
        <f>TEXT(导出!AG72,"#.00")=TEXT(计算!AG72, "#.00")</f>
        <v>1</v>
      </c>
      <c r="AH74" s="65" t="b">
        <f>TEXT(导出!AH72,"#.00")=TEXT(计算!AH72, "#.00")</f>
        <v>1</v>
      </c>
      <c r="AI74">
        <v>0</v>
      </c>
      <c r="AJ74" s="3">
        <v>41912.686261574097</v>
      </c>
      <c r="AK74" s="2" t="s">
        <v>2113</v>
      </c>
    </row>
    <row r="75" spans="1:37" x14ac:dyDescent="0.15">
      <c r="A75" s="2" t="s">
        <v>2112</v>
      </c>
      <c r="B75">
        <v>674</v>
      </c>
      <c r="C75" s="3">
        <v>41297</v>
      </c>
      <c r="D75" s="2" t="s">
        <v>37</v>
      </c>
      <c r="E75" s="2" t="s">
        <v>2111</v>
      </c>
      <c r="F75" s="2" t="s">
        <v>38</v>
      </c>
      <c r="G75" s="2" t="s">
        <v>184</v>
      </c>
      <c r="H75" s="2" t="s">
        <v>185</v>
      </c>
      <c r="I75" s="65" t="b">
        <f>导出!I73=计算!I73</f>
        <v>1</v>
      </c>
      <c r="J75" s="65" t="b">
        <f>导出!J73=计算!J73</f>
        <v>1</v>
      </c>
      <c r="K75" s="65" t="b">
        <f>导出!K73=计算!K73</f>
        <v>1</v>
      </c>
      <c r="L75" s="65" t="b">
        <f>导出!L73=计算!L73</f>
        <v>1</v>
      </c>
      <c r="M75" s="65" t="b">
        <f>导出!M73=计算!M73</f>
        <v>1</v>
      </c>
      <c r="N75" s="65" t="b">
        <f>TEXT(导出!N73,"#.00")=TEXT(计算!N73, "#.00")</f>
        <v>1</v>
      </c>
      <c r="O75" s="65" t="b">
        <f>TEXT(导出!O73,"#.00")=TEXT(计算!O73, "#.00")</f>
        <v>1</v>
      </c>
      <c r="P75" s="65" t="b">
        <f>TEXT(导出!P73,"#.00")=TEXT(计算!P73, "#.00")</f>
        <v>1</v>
      </c>
      <c r="Q75" s="65" t="b">
        <f>TEXT(导出!Q73,"#.00")=TEXT(计算!Q73, "#.00")</f>
        <v>1</v>
      </c>
      <c r="R75" s="65" t="b">
        <f>TEXT(导出!R73,"#.00")=TEXT(计算!R73, "#.00")</f>
        <v>1</v>
      </c>
      <c r="S75" s="65" t="b">
        <f>TEXT(导出!S73,"#.00")=TEXT(计算!S73, "#.00")</f>
        <v>1</v>
      </c>
      <c r="T75" s="65" t="b">
        <f>TEXT(导出!T73,"#.00")=TEXT(计算!T73, "#.00")</f>
        <v>1</v>
      </c>
      <c r="U75" s="65" t="b">
        <f>TEXT(导出!U73,"#.00")=TEXT(计算!U73, "#.00")</f>
        <v>1</v>
      </c>
      <c r="V75" s="65" t="b">
        <f>TEXT(导出!V73,"#.00")=TEXT(计算!V73*100, "#.00")</f>
        <v>1</v>
      </c>
      <c r="W75" s="65" t="b">
        <f>TEXT(导出!W73,"#.00")=TEXT(计算!W73, "#.00")</f>
        <v>1</v>
      </c>
      <c r="X75" s="65" t="b">
        <f>TEXT(导出!X73,"#.00")=TEXT(计算!X73, "#.00")</f>
        <v>1</v>
      </c>
      <c r="Y75" s="65" t="b">
        <f>TEXT(导出!Y73,"#.00")=TEXT(计算!Y73, "#.00")</f>
        <v>1</v>
      </c>
      <c r="Z75" s="65" t="b">
        <f>TEXT(导出!Z73,"#.00")=TEXT(计算!Z73, "#.00")</f>
        <v>1</v>
      </c>
      <c r="AA75" s="65" t="b">
        <f>TEXT(导出!AA73,"#.00")=TEXT(计算!AA73*100, "#.00")</f>
        <v>1</v>
      </c>
      <c r="AB75" s="65" t="b">
        <f>TEXT(导出!AB73,"#.00")=TEXT(计算!AB73, "#.00")</f>
        <v>1</v>
      </c>
      <c r="AC75" s="65" t="b">
        <f>TEXT(导出!AC73,"#.00")=TEXT(计算!AC73, "#.00")</f>
        <v>1</v>
      </c>
      <c r="AD75" s="65" t="b">
        <f>TEXT(导出!AD73,"#.00")=TEXT(计算!AD73, "#.00")</f>
        <v>1</v>
      </c>
      <c r="AE75" s="65" t="b">
        <f>ABS(导出!AE73-计算!AE73)&lt;10</f>
        <v>1</v>
      </c>
      <c r="AF75" s="65" t="b">
        <f>TEXT(ABS(导出!AF73),"#.00")=TEXT(ABS(计算!AF73), "#.00")</f>
        <v>1</v>
      </c>
      <c r="AG75" s="65" t="b">
        <f>TEXT(导出!AG73,"#.00")=TEXT(计算!AG73, "#.00")</f>
        <v>1</v>
      </c>
      <c r="AH75" s="65" t="b">
        <f>TEXT(导出!AH73,"#.00")=TEXT(计算!AH73, "#.00")</f>
        <v>1</v>
      </c>
      <c r="AI75">
        <v>0</v>
      </c>
      <c r="AJ75" s="3">
        <v>41912.686261574097</v>
      </c>
      <c r="AK75" s="2" t="s">
        <v>2110</v>
      </c>
    </row>
    <row r="76" spans="1:37" x14ac:dyDescent="0.15">
      <c r="A76" s="2" t="s">
        <v>2109</v>
      </c>
      <c r="B76">
        <v>705</v>
      </c>
      <c r="C76" s="3">
        <v>41299</v>
      </c>
      <c r="D76" s="2" t="s">
        <v>37</v>
      </c>
      <c r="E76" s="2" t="s">
        <v>2108</v>
      </c>
      <c r="F76" s="2" t="s">
        <v>38</v>
      </c>
      <c r="G76" s="2" t="s">
        <v>186</v>
      </c>
      <c r="H76" s="2" t="s">
        <v>187</v>
      </c>
      <c r="I76" s="65" t="b">
        <f>导出!I74=计算!I74</f>
        <v>1</v>
      </c>
      <c r="J76" s="65" t="b">
        <f>导出!J74=计算!J74</f>
        <v>1</v>
      </c>
      <c r="K76" s="65" t="b">
        <f>导出!K74=计算!K74</f>
        <v>1</v>
      </c>
      <c r="L76" s="65" t="b">
        <f>导出!L74=计算!L74</f>
        <v>1</v>
      </c>
      <c r="M76" s="65" t="b">
        <f>导出!M74=计算!M74</f>
        <v>1</v>
      </c>
      <c r="N76" s="65" t="b">
        <f>TEXT(导出!N74,"#.00")=TEXT(计算!N74, "#.00")</f>
        <v>1</v>
      </c>
      <c r="O76" s="65" t="b">
        <f>TEXT(导出!O74,"#.00")=TEXT(计算!O74, "#.00")</f>
        <v>1</v>
      </c>
      <c r="P76" s="65" t="b">
        <f>TEXT(导出!P74,"#.00")=TEXT(计算!P74, "#.00")</f>
        <v>1</v>
      </c>
      <c r="Q76" s="65" t="b">
        <f>TEXT(导出!Q74,"#.00")=TEXT(计算!Q74, "#.00")</f>
        <v>1</v>
      </c>
      <c r="R76" s="65" t="b">
        <f>TEXT(导出!R74,"#.00")=TEXT(计算!R74, "#.00")</f>
        <v>1</v>
      </c>
      <c r="S76" s="65" t="b">
        <f>TEXT(导出!S74,"#.00")=TEXT(计算!S74, "#.00")</f>
        <v>1</v>
      </c>
      <c r="T76" s="65" t="b">
        <f>TEXT(导出!T74,"#.00")=TEXT(计算!T74, "#.00")</f>
        <v>1</v>
      </c>
      <c r="U76" s="65" t="b">
        <f>TEXT(导出!U74,"#.00")=TEXT(计算!U74, "#.00")</f>
        <v>1</v>
      </c>
      <c r="V76" s="65" t="b">
        <f>TEXT(导出!V74,"#.00")=TEXT(计算!V74*100, "#.00")</f>
        <v>1</v>
      </c>
      <c r="W76" s="65" t="b">
        <f>TEXT(导出!W74,"#.00")=TEXT(计算!W74, "#.00")</f>
        <v>1</v>
      </c>
      <c r="X76" s="65" t="b">
        <f>TEXT(导出!X74,"#.00")=TEXT(计算!X74, "#.00")</f>
        <v>1</v>
      </c>
      <c r="Y76" s="65" t="b">
        <f>TEXT(导出!Y74,"#.00")=TEXT(计算!Y74, "#.00")</f>
        <v>1</v>
      </c>
      <c r="Z76" s="65" t="b">
        <f>TEXT(导出!Z74,"#.00")=TEXT(计算!Z74, "#.00")</f>
        <v>1</v>
      </c>
      <c r="AA76" s="65" t="b">
        <f>TEXT(导出!AA74,"#.00")=TEXT(计算!AA74*100, "#.00")</f>
        <v>1</v>
      </c>
      <c r="AB76" s="65" t="b">
        <f>TEXT(导出!AB74,"#.00")=TEXT(计算!AB74, "#.00")</f>
        <v>1</v>
      </c>
      <c r="AC76" s="65" t="b">
        <f>TEXT(导出!AC74,"#.00")=TEXT(计算!AC74, "#.00")</f>
        <v>1</v>
      </c>
      <c r="AD76" s="65" t="b">
        <f>TEXT(导出!AD74,"#.00")=TEXT(计算!AD74, "#.00")</f>
        <v>1</v>
      </c>
      <c r="AE76" s="65" t="b">
        <f>ABS(导出!AE74-计算!AE74)&lt;10</f>
        <v>1</v>
      </c>
      <c r="AF76" s="65" t="b">
        <f>TEXT(ABS(导出!AF74),"#.00")=TEXT(ABS(计算!AF74), "#.00")</f>
        <v>1</v>
      </c>
      <c r="AG76" s="65" t="b">
        <f>TEXT(导出!AG74,"#.00")=TEXT(计算!AG74, "#.00")</f>
        <v>1</v>
      </c>
      <c r="AH76" s="65" t="b">
        <f>TEXT(导出!AH74,"#.00")=TEXT(计算!AH74, "#.00")</f>
        <v>1</v>
      </c>
      <c r="AI76">
        <v>0</v>
      </c>
      <c r="AJ76" s="3">
        <v>41912.686261574097</v>
      </c>
      <c r="AK76" s="2" t="s">
        <v>2107</v>
      </c>
    </row>
    <row r="77" spans="1:37" x14ac:dyDescent="0.15">
      <c r="A77" s="2" t="s">
        <v>2106</v>
      </c>
      <c r="B77">
        <v>690</v>
      </c>
      <c r="C77" s="3">
        <v>41299</v>
      </c>
      <c r="D77" s="2" t="s">
        <v>37</v>
      </c>
      <c r="E77" s="2" t="s">
        <v>2105</v>
      </c>
      <c r="F77" s="2" t="s">
        <v>38</v>
      </c>
      <c r="G77" s="2" t="s">
        <v>188</v>
      </c>
      <c r="H77" s="2" t="s">
        <v>189</v>
      </c>
      <c r="I77" s="65" t="b">
        <f>导出!I75=计算!I75</f>
        <v>1</v>
      </c>
      <c r="J77" s="65" t="b">
        <f>导出!J75=计算!J75</f>
        <v>1</v>
      </c>
      <c r="K77" s="65" t="b">
        <f>导出!K75=计算!K75</f>
        <v>1</v>
      </c>
      <c r="L77" s="65" t="b">
        <f>导出!L75=计算!L75</f>
        <v>1</v>
      </c>
      <c r="M77" s="65" t="b">
        <f>导出!M75=计算!M75</f>
        <v>1</v>
      </c>
      <c r="N77" s="65" t="b">
        <f>TEXT(导出!N75,"#.00")=TEXT(计算!N75, "#.00")</f>
        <v>1</v>
      </c>
      <c r="O77" s="65" t="b">
        <f>TEXT(导出!O75,"#.00")=TEXT(计算!O75, "#.00")</f>
        <v>1</v>
      </c>
      <c r="P77" s="65" t="b">
        <f>TEXT(导出!P75,"#.00")=TEXT(计算!P75, "#.00")</f>
        <v>1</v>
      </c>
      <c r="Q77" s="65" t="b">
        <f>TEXT(导出!Q75,"#.00")=TEXT(计算!Q75, "#.00")</f>
        <v>1</v>
      </c>
      <c r="R77" s="65" t="b">
        <f>TEXT(导出!R75,"#.00")=TEXT(计算!R75, "#.00")</f>
        <v>1</v>
      </c>
      <c r="S77" s="65" t="b">
        <f>TEXT(导出!S75,"#.00")=TEXT(计算!S75, "#.00")</f>
        <v>1</v>
      </c>
      <c r="T77" s="65" t="b">
        <f>TEXT(导出!T75,"#.00")=TEXT(计算!T75, "#.00")</f>
        <v>1</v>
      </c>
      <c r="U77" s="65" t="b">
        <f>TEXT(导出!U75,"#.00")=TEXT(计算!U75, "#.00")</f>
        <v>1</v>
      </c>
      <c r="V77" s="65" t="b">
        <f>TEXT(导出!V75,"#.00")=TEXT(计算!V75*100, "#.00")</f>
        <v>1</v>
      </c>
      <c r="W77" s="65" t="b">
        <f>TEXT(导出!W75,"#.00")=TEXT(计算!W75, "#.00")</f>
        <v>1</v>
      </c>
      <c r="X77" s="65" t="b">
        <f>TEXT(导出!X75,"#.00")=TEXT(计算!X75, "#.00")</f>
        <v>1</v>
      </c>
      <c r="Y77" s="65" t="b">
        <f>TEXT(导出!Y75,"#.00")=TEXT(计算!Y75, "#.00")</f>
        <v>1</v>
      </c>
      <c r="Z77" s="65" t="b">
        <f>TEXT(导出!Z75,"#.00")=TEXT(计算!Z75, "#.00")</f>
        <v>1</v>
      </c>
      <c r="AA77" s="65" t="b">
        <f>TEXT(导出!AA75,"#.00")=TEXT(计算!AA75*100, "#.00")</f>
        <v>1</v>
      </c>
      <c r="AB77" s="65" t="b">
        <f>TEXT(导出!AB75,"#.00")=TEXT(计算!AB75, "#.00")</f>
        <v>1</v>
      </c>
      <c r="AC77" s="65" t="b">
        <f>TEXT(导出!AC75,"#.00")=TEXT(计算!AC75, "#.00")</f>
        <v>1</v>
      </c>
      <c r="AD77" s="65" t="b">
        <f>TEXT(导出!AD75,"#.00")=TEXT(计算!AD75, "#.00")</f>
        <v>1</v>
      </c>
      <c r="AE77" s="65" t="b">
        <f>ABS(导出!AE75-计算!AE75)&lt;10</f>
        <v>1</v>
      </c>
      <c r="AF77" s="65" t="b">
        <f>TEXT(ABS(导出!AF75),"#.00")=TEXT(ABS(计算!AF75), "#.00")</f>
        <v>1</v>
      </c>
      <c r="AG77" s="65" t="b">
        <f>TEXT(导出!AG75,"#.00")=TEXT(计算!AG75, "#.00")</f>
        <v>1</v>
      </c>
      <c r="AH77" s="65" t="b">
        <f>TEXT(导出!AH75,"#.00")=TEXT(计算!AH75, "#.00")</f>
        <v>1</v>
      </c>
      <c r="AI77">
        <v>0</v>
      </c>
      <c r="AJ77" s="3">
        <v>41912.686261574097</v>
      </c>
      <c r="AK77" s="2" t="s">
        <v>2104</v>
      </c>
    </row>
    <row r="78" spans="1:37" x14ac:dyDescent="0.15">
      <c r="A78" s="2" t="s">
        <v>2103</v>
      </c>
      <c r="B78">
        <v>713</v>
      </c>
      <c r="C78" s="3">
        <v>41303</v>
      </c>
      <c r="D78" s="2" t="s">
        <v>37</v>
      </c>
      <c r="E78" s="2" t="s">
        <v>2102</v>
      </c>
      <c r="F78" s="2" t="s">
        <v>38</v>
      </c>
      <c r="G78" s="2" t="s">
        <v>190</v>
      </c>
      <c r="H78" s="2" t="s">
        <v>191</v>
      </c>
      <c r="I78" s="65" t="b">
        <f>导出!I76=计算!I76</f>
        <v>1</v>
      </c>
      <c r="J78" s="65" t="b">
        <f>导出!J76=计算!J76</f>
        <v>1</v>
      </c>
      <c r="K78" s="65" t="b">
        <f>导出!K76=计算!K76</f>
        <v>1</v>
      </c>
      <c r="L78" s="65" t="b">
        <f>导出!L76=计算!L76</f>
        <v>1</v>
      </c>
      <c r="M78" s="65" t="b">
        <f>导出!M76=计算!M76</f>
        <v>1</v>
      </c>
      <c r="N78" s="65" t="b">
        <f>TEXT(导出!N76,"#.00")=TEXT(计算!N76, "#.00")</f>
        <v>1</v>
      </c>
      <c r="O78" s="65" t="b">
        <f>TEXT(导出!O76,"#.00")=TEXT(计算!O76, "#.00")</f>
        <v>1</v>
      </c>
      <c r="P78" s="65" t="b">
        <f>TEXT(导出!P76,"#.00")=TEXT(计算!P76, "#.00")</f>
        <v>1</v>
      </c>
      <c r="Q78" s="65" t="b">
        <f>TEXT(导出!Q76,"#.00")=TEXT(计算!Q76, "#.00")</f>
        <v>0</v>
      </c>
      <c r="R78" s="65" t="b">
        <f>TEXT(导出!R76,"#.00")=TEXT(计算!R76, "#.00")</f>
        <v>1</v>
      </c>
      <c r="S78" s="65" t="b">
        <f>TEXT(导出!S76,"#.00")=TEXT(计算!S76, "#.00")</f>
        <v>1</v>
      </c>
      <c r="T78" s="65" t="b">
        <f>TEXT(导出!T76,"#.00")=TEXT(计算!T76, "#.00")</f>
        <v>1</v>
      </c>
      <c r="U78" s="65" t="b">
        <f>TEXT(导出!U76,"#.00")=TEXT(计算!U76, "#.00")</f>
        <v>1</v>
      </c>
      <c r="V78" s="65" t="b">
        <f>TEXT(导出!V76,"#.00")=TEXT(计算!V76*100, "#.00")</f>
        <v>1</v>
      </c>
      <c r="W78" s="65" t="b">
        <f>TEXT(导出!W76,"#.00")=TEXT(计算!W76, "#.00")</f>
        <v>1</v>
      </c>
      <c r="X78" s="65" t="b">
        <f>TEXT(导出!X76,"#.00")=TEXT(计算!X76, "#.00")</f>
        <v>1</v>
      </c>
      <c r="Y78" s="65" t="b">
        <f>TEXT(导出!Y76,"#.00")=TEXT(计算!Y76, "#.00")</f>
        <v>1</v>
      </c>
      <c r="Z78" s="65" t="b">
        <f>TEXT(导出!Z76,"#.00")=TEXT(计算!Z76, "#.00")</f>
        <v>1</v>
      </c>
      <c r="AA78" s="65" t="b">
        <f>TEXT(导出!AA76,"#.00")=TEXT(计算!AA76*100, "#.00")</f>
        <v>1</v>
      </c>
      <c r="AB78" s="65" t="b">
        <f>TEXT(导出!AB76,"#.00")=TEXT(计算!AB76, "#.00")</f>
        <v>1</v>
      </c>
      <c r="AC78" s="65" t="b">
        <f>TEXT(导出!AC76,"#.00")=TEXT(计算!AC76, "#.00")</f>
        <v>1</v>
      </c>
      <c r="AD78" s="65" t="b">
        <f>TEXT(导出!AD76,"#.00")=TEXT(计算!AD76, "#.00")</f>
        <v>1</v>
      </c>
      <c r="AE78" s="65" t="b">
        <f>ABS(导出!AE76-计算!AE76)&lt;10</f>
        <v>1</v>
      </c>
      <c r="AF78" s="65" t="b">
        <f>TEXT(ABS(导出!AF76),"#.00")=TEXT(ABS(计算!AF76), "#.00")</f>
        <v>1</v>
      </c>
      <c r="AG78" s="65" t="b">
        <f>TEXT(导出!AG76,"#.00")=TEXT(计算!AG76, "#.00")</f>
        <v>1</v>
      </c>
      <c r="AH78" s="65" t="b">
        <f>TEXT(导出!AH76,"#.00")=TEXT(计算!AH76, "#.00")</f>
        <v>1</v>
      </c>
      <c r="AI78">
        <v>0</v>
      </c>
      <c r="AJ78" s="3">
        <v>41912.686261574097</v>
      </c>
      <c r="AK78" s="2" t="s">
        <v>2101</v>
      </c>
    </row>
    <row r="79" spans="1:37" x14ac:dyDescent="0.15">
      <c r="A79" s="2" t="s">
        <v>2100</v>
      </c>
      <c r="B79">
        <v>722</v>
      </c>
      <c r="C79" s="3">
        <v>41304</v>
      </c>
      <c r="D79" s="2" t="s">
        <v>37</v>
      </c>
      <c r="E79" s="2" t="s">
        <v>2099</v>
      </c>
      <c r="F79" s="2" t="s">
        <v>38</v>
      </c>
      <c r="G79" s="2" t="s">
        <v>192</v>
      </c>
      <c r="H79" s="2" t="s">
        <v>193</v>
      </c>
      <c r="I79" s="65" t="b">
        <f>导出!I77=计算!I77</f>
        <v>1</v>
      </c>
      <c r="J79" s="65" t="b">
        <f>导出!J77=计算!J77</f>
        <v>1</v>
      </c>
      <c r="K79" s="65" t="b">
        <f>导出!K77=计算!K77</f>
        <v>1</v>
      </c>
      <c r="L79" s="65" t="b">
        <f>导出!L77=计算!L77</f>
        <v>1</v>
      </c>
      <c r="M79" s="65" t="b">
        <f>导出!M77=计算!M77</f>
        <v>1</v>
      </c>
      <c r="N79" s="65" t="b">
        <f>TEXT(导出!N77,"#.00")=TEXT(计算!N77, "#.00")</f>
        <v>1</v>
      </c>
      <c r="O79" s="65" t="b">
        <f>TEXT(导出!O77,"#.00")=TEXT(计算!O77, "#.00")</f>
        <v>1</v>
      </c>
      <c r="P79" s="65" t="b">
        <f>TEXT(导出!P77,"#.00")=TEXT(计算!P77, "#.00")</f>
        <v>1</v>
      </c>
      <c r="Q79" s="65" t="b">
        <f>TEXT(导出!Q77,"#.00")=TEXT(计算!Q77, "#.00")</f>
        <v>0</v>
      </c>
      <c r="R79" s="65" t="b">
        <f>TEXT(导出!R77,"#.00")=TEXT(计算!R77, "#.00")</f>
        <v>1</v>
      </c>
      <c r="S79" s="65" t="b">
        <f>TEXT(导出!S77,"#.00")=TEXT(计算!S77, "#.00")</f>
        <v>1</v>
      </c>
      <c r="T79" s="65" t="b">
        <f>TEXT(导出!T77,"#.00")=TEXT(计算!T77, "#.00")</f>
        <v>1</v>
      </c>
      <c r="U79" s="65" t="b">
        <f>TEXT(导出!U77,"#.00")=TEXT(计算!U77, "#.00")</f>
        <v>1</v>
      </c>
      <c r="V79" s="65" t="b">
        <f>TEXT(导出!V77,"#.00")=TEXT(计算!V77*100, "#.00")</f>
        <v>1</v>
      </c>
      <c r="W79" s="65" t="b">
        <f>TEXT(导出!W77,"#.00")=TEXT(计算!W77, "#.00")</f>
        <v>1</v>
      </c>
      <c r="X79" s="65" t="b">
        <f>TEXT(导出!X77,"#.00")=TEXT(计算!X77, "#.00")</f>
        <v>1</v>
      </c>
      <c r="Y79" s="65" t="b">
        <f>TEXT(导出!Y77,"#.00")=TEXT(计算!Y77, "#.00")</f>
        <v>1</v>
      </c>
      <c r="Z79" s="65" t="b">
        <f>TEXT(导出!Z77,"#.00")=TEXT(计算!Z77, "#.00")</f>
        <v>1</v>
      </c>
      <c r="AA79" s="65" t="b">
        <f>TEXT(导出!AA77,"#.00")=TEXT(计算!AA77*100, "#.00")</f>
        <v>1</v>
      </c>
      <c r="AB79" s="65" t="b">
        <f>TEXT(导出!AB77,"#.00")=TEXT(计算!AB77, "#.00")</f>
        <v>1</v>
      </c>
      <c r="AC79" s="65" t="b">
        <f>TEXT(导出!AC77,"#.00")=TEXT(计算!AC77, "#.00")</f>
        <v>1</v>
      </c>
      <c r="AD79" s="65" t="b">
        <f>TEXT(导出!AD77,"#.00")=TEXT(计算!AD77, "#.00")</f>
        <v>1</v>
      </c>
      <c r="AE79" s="65" t="b">
        <f>ABS(导出!AE77-计算!AE77)&lt;10</f>
        <v>1</v>
      </c>
      <c r="AF79" s="65" t="b">
        <f>TEXT(ABS(导出!AF77),"#.00")=TEXT(ABS(计算!AF77), "#.00")</f>
        <v>1</v>
      </c>
      <c r="AG79" s="65" t="b">
        <f>TEXT(导出!AG77,"#.00")=TEXT(计算!AG77, "#.00")</f>
        <v>1</v>
      </c>
      <c r="AH79" s="65" t="b">
        <f>TEXT(导出!AH77,"#.00")=TEXT(计算!AH77, "#.00")</f>
        <v>1</v>
      </c>
      <c r="AI79">
        <v>0</v>
      </c>
      <c r="AJ79" s="3">
        <v>41912.686261574097</v>
      </c>
      <c r="AK79" s="2" t="s">
        <v>2098</v>
      </c>
    </row>
    <row r="80" spans="1:37" x14ac:dyDescent="0.15">
      <c r="A80" s="2" t="s">
        <v>2097</v>
      </c>
      <c r="B80">
        <v>104</v>
      </c>
      <c r="C80" s="3">
        <v>41306</v>
      </c>
      <c r="D80" s="2" t="s">
        <v>37</v>
      </c>
      <c r="E80" s="2" t="s">
        <v>2096</v>
      </c>
      <c r="F80" s="2" t="s">
        <v>41</v>
      </c>
      <c r="G80" s="2" t="s">
        <v>194</v>
      </c>
      <c r="H80" s="2" t="s">
        <v>195</v>
      </c>
      <c r="I80" s="65" t="b">
        <f>导出!I78=计算!I78</f>
        <v>1</v>
      </c>
      <c r="J80" s="65" t="b">
        <f>导出!J78=计算!J78</f>
        <v>1</v>
      </c>
      <c r="K80" s="65" t="b">
        <f>导出!K78=计算!K78</f>
        <v>1</v>
      </c>
      <c r="L80" s="65" t="b">
        <f>导出!L78=计算!L78</f>
        <v>1</v>
      </c>
      <c r="M80" s="65" t="b">
        <f>导出!M78=计算!M78</f>
        <v>1</v>
      </c>
      <c r="N80" s="65" t="b">
        <f>TEXT(导出!N78,"#.00")=TEXT(计算!N78, "#.00")</f>
        <v>1</v>
      </c>
      <c r="O80" s="65" t="b">
        <f>TEXT(导出!O78,"#.00")=TEXT(计算!O78, "#.00")</f>
        <v>1</v>
      </c>
      <c r="P80" s="65" t="b">
        <f>TEXT(导出!P78,"#.00")=TEXT(计算!P78, "#.00")</f>
        <v>1</v>
      </c>
      <c r="Q80" s="65" t="b">
        <f>TEXT(导出!Q78,"#.00")=TEXT(计算!Q78, "#.00")</f>
        <v>1</v>
      </c>
      <c r="R80" s="65" t="b">
        <f>TEXT(导出!R78,"#.00")=TEXT(计算!R78, "#.00")</f>
        <v>1</v>
      </c>
      <c r="S80" s="65" t="b">
        <f>TEXT(导出!S78,"#.00")=TEXT(计算!S78, "#.00")</f>
        <v>1</v>
      </c>
      <c r="T80" s="65" t="b">
        <f>TEXT(导出!T78,"#.00")=TEXT(计算!T78, "#.00")</f>
        <v>1</v>
      </c>
      <c r="U80" s="65" t="b">
        <f>TEXT(导出!U78,"#.00")=TEXT(计算!U78, "#.00")</f>
        <v>1</v>
      </c>
      <c r="V80" s="65" t="b">
        <f>TEXT(导出!V78,"#.00")=TEXT(计算!V78*100, "#.00")</f>
        <v>1</v>
      </c>
      <c r="W80" s="65" t="b">
        <f>TEXT(导出!W78,"#.00")=TEXT(计算!W78, "#.00")</f>
        <v>1</v>
      </c>
      <c r="X80" s="65" t="b">
        <f>TEXT(导出!X78,"#.00")=TEXT(计算!X78, "#.00")</f>
        <v>1</v>
      </c>
      <c r="Y80" s="65" t="b">
        <f>TEXT(导出!Y78,"#.00")=TEXT(计算!Y78, "#.00")</f>
        <v>1</v>
      </c>
      <c r="Z80" s="65" t="b">
        <f>TEXT(导出!Z78,"#.00")=TEXT(计算!Z78, "#.00")</f>
        <v>1</v>
      </c>
      <c r="AA80" s="65" t="b">
        <f>TEXT(导出!AA78,"#.00")=TEXT(计算!AA78*100, "#.00")</f>
        <v>1</v>
      </c>
      <c r="AB80" s="65" t="b">
        <f>TEXT(导出!AB78,"#.00")=TEXT(计算!AB78, "#.00")</f>
        <v>1</v>
      </c>
      <c r="AC80" s="65" t="b">
        <f>TEXT(导出!AC78,"#.00")=TEXT(计算!AC78, "#.00")</f>
        <v>1</v>
      </c>
      <c r="AD80" s="65" t="b">
        <f>TEXT(导出!AD78,"#.00")=TEXT(计算!AD78, "#.00")</f>
        <v>1</v>
      </c>
      <c r="AE80" s="65" t="b">
        <f>ABS(导出!AE78-计算!AE78)&lt;10</f>
        <v>1</v>
      </c>
      <c r="AF80" s="65" t="b">
        <f>TEXT(ABS(导出!AF78),"#.00")=TEXT(ABS(计算!AF78), "#.00")</f>
        <v>1</v>
      </c>
      <c r="AG80" s="65" t="b">
        <f>TEXT(导出!AG78,"#.00")=TEXT(计算!AG78, "#.00")</f>
        <v>1</v>
      </c>
      <c r="AH80" s="65" t="b">
        <f>TEXT(导出!AH78,"#.00")=TEXT(计算!AH78, "#.00")</f>
        <v>1</v>
      </c>
      <c r="AI80">
        <v>0</v>
      </c>
      <c r="AJ80" s="3">
        <v>41912.6862384259</v>
      </c>
      <c r="AK80" s="2" t="s">
        <v>2095</v>
      </c>
    </row>
    <row r="81" spans="1:37" x14ac:dyDescent="0.15">
      <c r="A81" s="2" t="s">
        <v>2094</v>
      </c>
      <c r="B81">
        <v>730</v>
      </c>
      <c r="C81" s="3">
        <v>41330</v>
      </c>
      <c r="D81" s="2" t="s">
        <v>37</v>
      </c>
      <c r="E81" s="2" t="s">
        <v>2093</v>
      </c>
      <c r="F81" s="2" t="s">
        <v>38</v>
      </c>
      <c r="G81" s="2" t="s">
        <v>196</v>
      </c>
      <c r="H81" s="2" t="s">
        <v>197</v>
      </c>
      <c r="I81" s="65" t="b">
        <f>导出!I79=计算!I79</f>
        <v>1</v>
      </c>
      <c r="J81" s="65" t="b">
        <f>导出!J79=计算!J79</f>
        <v>1</v>
      </c>
      <c r="K81" s="65" t="b">
        <f>导出!K79=计算!K79</f>
        <v>1</v>
      </c>
      <c r="L81" s="65" t="b">
        <f>导出!L79=计算!L79</f>
        <v>1</v>
      </c>
      <c r="M81" s="65" t="b">
        <f>导出!M79=计算!M79</f>
        <v>1</v>
      </c>
      <c r="N81" s="65" t="b">
        <f>TEXT(导出!N79,"#.00")=TEXT(计算!N79, "#.00")</f>
        <v>1</v>
      </c>
      <c r="O81" s="65" t="b">
        <f>TEXT(导出!O79,"#.00")=TEXT(计算!O79, "#.00")</f>
        <v>1</v>
      </c>
      <c r="P81" s="65" t="b">
        <f>TEXT(导出!P79,"#.00")=TEXT(计算!P79, "#.00")</f>
        <v>1</v>
      </c>
      <c r="Q81" s="65" t="b">
        <f>TEXT(导出!Q79,"#.00")=TEXT(计算!Q79, "#.00")</f>
        <v>0</v>
      </c>
      <c r="R81" s="65" t="b">
        <f>TEXT(导出!R79,"#.00")=TEXT(计算!R79, "#.00")</f>
        <v>1</v>
      </c>
      <c r="S81" s="65" t="b">
        <f>TEXT(导出!S79,"#.00")=TEXT(计算!S79, "#.00")</f>
        <v>1</v>
      </c>
      <c r="T81" s="65" t="b">
        <f>TEXT(导出!T79,"#.00")=TEXT(计算!T79, "#.00")</f>
        <v>1</v>
      </c>
      <c r="U81" s="65" t="b">
        <f>TEXT(导出!U79,"#.00")=TEXT(计算!U79, "#.00")</f>
        <v>1</v>
      </c>
      <c r="V81" s="65" t="b">
        <f>TEXT(导出!V79,"#.00")=TEXT(计算!V79*100, "#.00")</f>
        <v>1</v>
      </c>
      <c r="W81" s="65" t="b">
        <f>TEXT(导出!W79,"#.00")=TEXT(计算!W79, "#.00")</f>
        <v>1</v>
      </c>
      <c r="X81" s="65" t="b">
        <f>TEXT(导出!X79,"#.00")=TEXT(计算!X79, "#.00")</f>
        <v>1</v>
      </c>
      <c r="Y81" s="65" t="b">
        <f>TEXT(导出!Y79,"#.00")=TEXT(计算!Y79, "#.00")</f>
        <v>1</v>
      </c>
      <c r="Z81" s="65" t="b">
        <f>TEXT(导出!Z79,"#.00")=TEXT(计算!Z79, "#.00")</f>
        <v>1</v>
      </c>
      <c r="AA81" s="65" t="b">
        <f>TEXT(导出!AA79,"#.00")=TEXT(计算!AA79*100, "#.00")</f>
        <v>1</v>
      </c>
      <c r="AB81" s="65" t="b">
        <f>TEXT(导出!AB79,"#.00")=TEXT(计算!AB79, "#.00")</f>
        <v>1</v>
      </c>
      <c r="AC81" s="65" t="b">
        <f>TEXT(导出!AC79,"#.00")=TEXT(计算!AC79, "#.00")</f>
        <v>1</v>
      </c>
      <c r="AD81" s="65" t="b">
        <f>TEXT(导出!AD79,"#.00")=TEXT(计算!AD79, "#.00")</f>
        <v>1</v>
      </c>
      <c r="AE81" s="65" t="b">
        <f>ABS(导出!AE79-计算!AE79)&lt;10</f>
        <v>1</v>
      </c>
      <c r="AF81" s="65" t="b">
        <f>TEXT(ABS(导出!AF79),"#.00")=TEXT(ABS(计算!AF79), "#.00")</f>
        <v>1</v>
      </c>
      <c r="AG81" s="65" t="b">
        <f>TEXT(导出!AG79,"#.00")=TEXT(计算!AG79, "#.00")</f>
        <v>1</v>
      </c>
      <c r="AH81" s="65" t="b">
        <f>TEXT(导出!AH79,"#.00")=TEXT(计算!AH79, "#.00")</f>
        <v>1</v>
      </c>
      <c r="AI81">
        <v>0</v>
      </c>
      <c r="AJ81" s="3">
        <v>41912.686261574097</v>
      </c>
      <c r="AK81" s="2" t="s">
        <v>2092</v>
      </c>
    </row>
    <row r="82" spans="1:37" x14ac:dyDescent="0.15">
      <c r="A82" s="2" t="s">
        <v>2091</v>
      </c>
      <c r="B82">
        <v>737</v>
      </c>
      <c r="C82" s="3">
        <v>41334</v>
      </c>
      <c r="D82" s="2" t="s">
        <v>37</v>
      </c>
      <c r="E82" s="2" t="s">
        <v>2090</v>
      </c>
      <c r="F82" s="2" t="s">
        <v>38</v>
      </c>
      <c r="G82" s="2" t="s">
        <v>198</v>
      </c>
      <c r="H82" s="2" t="s">
        <v>199</v>
      </c>
      <c r="I82" s="65" t="b">
        <f>导出!I80=计算!I80</f>
        <v>1</v>
      </c>
      <c r="J82" s="65" t="b">
        <f>导出!J80=计算!J80</f>
        <v>1</v>
      </c>
      <c r="K82" s="65" t="b">
        <f>导出!K80=计算!K80</f>
        <v>1</v>
      </c>
      <c r="L82" s="65" t="b">
        <f>导出!L80=计算!L80</f>
        <v>1</v>
      </c>
      <c r="M82" s="65" t="b">
        <f>导出!M80=计算!M80</f>
        <v>1</v>
      </c>
      <c r="N82" s="65" t="b">
        <f>TEXT(导出!N80,"#.00")=TEXT(计算!N80, "#.00")</f>
        <v>1</v>
      </c>
      <c r="O82" s="65" t="b">
        <f>TEXT(导出!O80,"#.00")=TEXT(计算!O80, "#.00")</f>
        <v>1</v>
      </c>
      <c r="P82" s="65" t="b">
        <f>TEXT(导出!P80,"#.00")=TEXT(计算!P80, "#.00")</f>
        <v>1</v>
      </c>
      <c r="Q82" s="65" t="b">
        <f>TEXT(导出!Q80,"#.00")=TEXT(计算!Q80, "#.00")</f>
        <v>0</v>
      </c>
      <c r="R82" s="65" t="b">
        <f>TEXT(导出!R80,"#.00")=TEXT(计算!R80, "#.00")</f>
        <v>1</v>
      </c>
      <c r="S82" s="65" t="b">
        <f>TEXT(导出!S80,"#.00")=TEXT(计算!S80, "#.00")</f>
        <v>1</v>
      </c>
      <c r="T82" s="65" t="b">
        <f>TEXT(导出!T80,"#.00")=TEXT(计算!T80, "#.00")</f>
        <v>1</v>
      </c>
      <c r="U82" s="65" t="b">
        <f>TEXT(导出!U80,"#.00")=TEXT(计算!U80, "#.00")</f>
        <v>1</v>
      </c>
      <c r="V82" s="65" t="b">
        <f>TEXT(导出!V80,"#.00")=TEXT(计算!V80*100, "#.00")</f>
        <v>1</v>
      </c>
      <c r="W82" s="65" t="b">
        <f>TEXT(导出!W80,"#.00")=TEXT(计算!W80, "#.00")</f>
        <v>1</v>
      </c>
      <c r="X82" s="65" t="b">
        <f>TEXT(导出!X80,"#.00")=TEXT(计算!X80, "#.00")</f>
        <v>1</v>
      </c>
      <c r="Y82" s="65" t="b">
        <f>TEXT(导出!Y80,"#.00")=TEXT(计算!Y80, "#.00")</f>
        <v>1</v>
      </c>
      <c r="Z82" s="65" t="b">
        <f>TEXT(导出!Z80,"#.00")=TEXT(计算!Z80, "#.00")</f>
        <v>0</v>
      </c>
      <c r="AA82" s="65" t="b">
        <f>TEXT(导出!AA80,"#.00")=TEXT(计算!AA80*100, "#.00")</f>
        <v>1</v>
      </c>
      <c r="AB82" s="65" t="b">
        <f>TEXT(导出!AB80,"#.00")=TEXT(计算!AB80, "#.00")</f>
        <v>1</v>
      </c>
      <c r="AC82" s="65" t="b">
        <f>TEXT(导出!AC80,"#.00")=TEXT(计算!AC80, "#.00")</f>
        <v>1</v>
      </c>
      <c r="AD82" s="65" t="b">
        <f>TEXT(导出!AD80,"#.00")=TEXT(计算!AD80, "#.00")</f>
        <v>1</v>
      </c>
      <c r="AE82" s="65" t="b">
        <f>ABS(导出!AE80-计算!AE80)&lt;10</f>
        <v>1</v>
      </c>
      <c r="AF82" s="65" t="b">
        <f>TEXT(ABS(导出!AF80),"#.00")=TEXT(ABS(计算!AF80), "#.00")</f>
        <v>1</v>
      </c>
      <c r="AG82" s="65" t="b">
        <f>TEXT(导出!AG80,"#.00")=TEXT(计算!AG80, "#.00")</f>
        <v>1</v>
      </c>
      <c r="AH82" s="65" t="b">
        <f>TEXT(导出!AH80,"#.00")=TEXT(计算!AH80, "#.00")</f>
        <v>1</v>
      </c>
      <c r="AI82">
        <v>0</v>
      </c>
      <c r="AJ82" s="3">
        <v>41912.686261574097</v>
      </c>
      <c r="AK82" s="2" t="s">
        <v>2089</v>
      </c>
    </row>
    <row r="83" spans="1:37" x14ac:dyDescent="0.15">
      <c r="A83" s="2" t="s">
        <v>2088</v>
      </c>
      <c r="B83">
        <v>108</v>
      </c>
      <c r="C83" s="3">
        <v>41334</v>
      </c>
      <c r="D83" s="2" t="s">
        <v>37</v>
      </c>
      <c r="E83" s="2" t="s">
        <v>2087</v>
      </c>
      <c r="F83" s="2" t="s">
        <v>41</v>
      </c>
      <c r="G83" s="2" t="s">
        <v>200</v>
      </c>
      <c r="H83" s="2" t="s">
        <v>201</v>
      </c>
      <c r="I83" s="65" t="b">
        <f>导出!I81=计算!I81</f>
        <v>1</v>
      </c>
      <c r="J83" s="65" t="b">
        <f>导出!J81=计算!J81</f>
        <v>1</v>
      </c>
      <c r="K83" s="65" t="b">
        <f>导出!K81=计算!K81</f>
        <v>1</v>
      </c>
      <c r="L83" s="65" t="b">
        <f>导出!L81=计算!L81</f>
        <v>1</v>
      </c>
      <c r="M83" s="65" t="b">
        <f>导出!M81=计算!M81</f>
        <v>1</v>
      </c>
      <c r="N83" s="65" t="b">
        <f>TEXT(导出!N81,"#.00")=TEXT(计算!N81, "#.00")</f>
        <v>0</v>
      </c>
      <c r="O83" s="65" t="b">
        <f>TEXT(导出!O81,"#.00")=TEXT(计算!O81, "#.00")</f>
        <v>1</v>
      </c>
      <c r="P83" s="65" t="b">
        <f>TEXT(导出!P81,"#.00")=TEXT(计算!P81, "#.00")</f>
        <v>1</v>
      </c>
      <c r="Q83" s="65" t="b">
        <f>TEXT(导出!Q81,"#.00")=TEXT(计算!Q81, "#.00")</f>
        <v>0</v>
      </c>
      <c r="R83" s="65" t="b">
        <f>TEXT(导出!R81,"#.00")=TEXT(计算!R81, "#.00")</f>
        <v>1</v>
      </c>
      <c r="S83" s="65" t="b">
        <f>TEXT(导出!S81,"#.00")=TEXT(计算!S81, "#.00")</f>
        <v>1</v>
      </c>
      <c r="T83" s="65" t="b">
        <f>TEXT(导出!T81,"#.00")=TEXT(计算!T81, "#.00")</f>
        <v>1</v>
      </c>
      <c r="U83" s="65" t="b">
        <f>TEXT(导出!U81,"#.00")=TEXT(计算!U81, "#.00")</f>
        <v>1</v>
      </c>
      <c r="V83" s="65" t="b">
        <f>TEXT(导出!V81,"#.00")=TEXT(计算!V81*100, "#.00")</f>
        <v>1</v>
      </c>
      <c r="W83" s="65" t="b">
        <f>TEXT(导出!W81,"#.00")=TEXT(计算!W81, "#.00")</f>
        <v>1</v>
      </c>
      <c r="X83" s="65" t="b">
        <f>TEXT(导出!X81,"#.00")=TEXT(计算!X81, "#.00")</f>
        <v>1</v>
      </c>
      <c r="Y83" s="65" t="b">
        <f>TEXT(导出!Y81,"#.00")=TEXT(计算!Y81, "#.00")</f>
        <v>1</v>
      </c>
      <c r="Z83" s="65" t="b">
        <f>TEXT(导出!Z81,"#.00")=TEXT(计算!Z81, "#.00")</f>
        <v>1</v>
      </c>
      <c r="AA83" s="65" t="b">
        <f>TEXT(导出!AA81,"#.00")=TEXT(计算!AA81*100, "#.00")</f>
        <v>1</v>
      </c>
      <c r="AB83" s="65" t="b">
        <f>TEXT(导出!AB81,"#.00")=TEXT(计算!AB81, "#.00")</f>
        <v>1</v>
      </c>
      <c r="AC83" s="65" t="b">
        <f>TEXT(导出!AC81,"#.00")=TEXT(计算!AC81, "#.00")</f>
        <v>1</v>
      </c>
      <c r="AD83" s="65" t="b">
        <f>TEXT(导出!AD81,"#.00")=TEXT(计算!AD81, "#.00")</f>
        <v>1</v>
      </c>
      <c r="AE83" s="65" t="b">
        <f>ABS(导出!AE81-计算!AE81)&lt;10</f>
        <v>1</v>
      </c>
      <c r="AF83" s="65" t="b">
        <f>TEXT(ABS(导出!AF81),"#.00")=TEXT(ABS(计算!AF81), "#.00")</f>
        <v>1</v>
      </c>
      <c r="AG83" s="65" t="b">
        <f>TEXT(导出!AG81,"#.00")=TEXT(计算!AG81, "#.00")</f>
        <v>1</v>
      </c>
      <c r="AH83" s="65" t="b">
        <f>TEXT(导出!AH81,"#.00")=TEXT(计算!AH81, "#.00")</f>
        <v>1</v>
      </c>
      <c r="AI83">
        <v>0</v>
      </c>
      <c r="AJ83" s="3">
        <v>41912.6862384259</v>
      </c>
      <c r="AK83" s="2" t="s">
        <v>2086</v>
      </c>
    </row>
    <row r="84" spans="1:37" x14ac:dyDescent="0.15">
      <c r="A84" s="2" t="s">
        <v>2085</v>
      </c>
      <c r="B84">
        <v>748</v>
      </c>
      <c r="C84" s="3">
        <v>41361</v>
      </c>
      <c r="D84" s="2" t="s">
        <v>37</v>
      </c>
      <c r="E84" s="2" t="s">
        <v>2084</v>
      </c>
      <c r="F84" s="2" t="s">
        <v>38</v>
      </c>
      <c r="G84" s="2" t="s">
        <v>202</v>
      </c>
      <c r="H84" s="2" t="s">
        <v>203</v>
      </c>
      <c r="I84" s="65" t="b">
        <f>导出!I82=计算!I82</f>
        <v>1</v>
      </c>
      <c r="J84" s="65" t="b">
        <f>导出!J82=计算!J82</f>
        <v>1</v>
      </c>
      <c r="K84" s="65" t="b">
        <f>导出!K82=计算!K82</f>
        <v>1</v>
      </c>
      <c r="L84" s="65" t="b">
        <f>导出!L82=计算!L82</f>
        <v>1</v>
      </c>
      <c r="M84" s="65" t="b">
        <f>导出!M82=计算!M82</f>
        <v>1</v>
      </c>
      <c r="N84" s="65" t="b">
        <f>TEXT(导出!N82,"#.00")=TEXT(计算!N82, "#.00")</f>
        <v>1</v>
      </c>
      <c r="O84" s="65" t="b">
        <f>TEXT(导出!O82,"#.00")=TEXT(计算!O82, "#.00")</f>
        <v>1</v>
      </c>
      <c r="P84" s="65" t="b">
        <f>TEXT(导出!P82,"#.00")=TEXT(计算!P82, "#.00")</f>
        <v>1</v>
      </c>
      <c r="Q84" s="65" t="b">
        <f>TEXT(导出!Q82,"#.00")=TEXT(计算!Q82, "#.00")</f>
        <v>1</v>
      </c>
      <c r="R84" s="65" t="b">
        <f>TEXT(导出!R82,"#.00")=TEXT(计算!R82, "#.00")</f>
        <v>1</v>
      </c>
      <c r="S84" s="65" t="b">
        <f>TEXT(导出!S82,"#.00")=TEXT(计算!S82, "#.00")</f>
        <v>1</v>
      </c>
      <c r="T84" s="65" t="b">
        <f>TEXT(导出!T82,"#.00")=TEXT(计算!T82, "#.00")</f>
        <v>1</v>
      </c>
      <c r="U84" s="65" t="b">
        <f>TEXT(导出!U82,"#.00")=TEXT(计算!U82, "#.00")</f>
        <v>1</v>
      </c>
      <c r="V84" s="65" t="b">
        <f>TEXT(导出!V82,"#.00")=TEXT(计算!V82*100, "#.00")</f>
        <v>1</v>
      </c>
      <c r="W84" s="65" t="b">
        <f>TEXT(导出!W82,"#.00")=TEXT(计算!W82, "#.00")</f>
        <v>1</v>
      </c>
      <c r="X84" s="65" t="b">
        <f>TEXT(导出!X82,"#.00")=TEXT(计算!X82, "#.00")</f>
        <v>1</v>
      </c>
      <c r="Y84" s="65" t="b">
        <f>TEXT(导出!Y82,"#.00")=TEXT(计算!Y82, "#.00")</f>
        <v>1</v>
      </c>
      <c r="Z84" s="65" t="b">
        <f>TEXT(导出!Z82,"#.00")=TEXT(计算!Z82, "#.00")</f>
        <v>1</v>
      </c>
      <c r="AA84" s="65" t="b">
        <f>TEXT(导出!AA82,"#.00")=TEXT(计算!AA82*100, "#.00")</f>
        <v>1</v>
      </c>
      <c r="AB84" s="65" t="b">
        <f>TEXT(导出!AB82,"#.00")=TEXT(计算!AB82, "#.00")</f>
        <v>1</v>
      </c>
      <c r="AC84" s="65" t="b">
        <f>TEXT(导出!AC82,"#.00")=TEXT(计算!AC82, "#.00")</f>
        <v>1</v>
      </c>
      <c r="AD84" s="65" t="b">
        <f>TEXT(导出!AD82,"#.00")=TEXT(计算!AD82, "#.00")</f>
        <v>1</v>
      </c>
      <c r="AE84" s="65" t="b">
        <f>ABS(导出!AE82-计算!AE82)&lt;10</f>
        <v>1</v>
      </c>
      <c r="AF84" s="65" t="b">
        <f>TEXT(ABS(导出!AF82),"#.00")=TEXT(ABS(计算!AF82), "#.00")</f>
        <v>1</v>
      </c>
      <c r="AG84" s="65" t="b">
        <f>TEXT(导出!AG82,"#.00")=TEXT(计算!AG82, "#.00")</f>
        <v>1</v>
      </c>
      <c r="AH84" s="65" t="b">
        <f>TEXT(导出!AH82,"#.00")=TEXT(计算!AH82, "#.00")</f>
        <v>1</v>
      </c>
      <c r="AI84">
        <v>0</v>
      </c>
      <c r="AJ84" s="3">
        <v>41912.686261574097</v>
      </c>
      <c r="AK84" s="2" t="s">
        <v>2083</v>
      </c>
    </row>
    <row r="85" spans="1:37" x14ac:dyDescent="0.15">
      <c r="A85" s="2" t="s">
        <v>2082</v>
      </c>
      <c r="B85">
        <v>756</v>
      </c>
      <c r="C85" s="3">
        <v>41361</v>
      </c>
      <c r="D85" s="2" t="s">
        <v>37</v>
      </c>
      <c r="E85" s="2" t="s">
        <v>2081</v>
      </c>
      <c r="F85" s="2" t="s">
        <v>38</v>
      </c>
      <c r="G85" s="2" t="s">
        <v>204</v>
      </c>
      <c r="H85" s="2" t="s">
        <v>205</v>
      </c>
      <c r="I85" s="65" t="b">
        <f>导出!I83=计算!I83</f>
        <v>1</v>
      </c>
      <c r="J85" s="65" t="b">
        <f>导出!J83=计算!J83</f>
        <v>1</v>
      </c>
      <c r="K85" s="65" t="b">
        <f>导出!K83=计算!K83</f>
        <v>1</v>
      </c>
      <c r="L85" s="65" t="b">
        <f>导出!L83=计算!L83</f>
        <v>1</v>
      </c>
      <c r="M85" s="65" t="b">
        <f>导出!M83=计算!M83</f>
        <v>1</v>
      </c>
      <c r="N85" s="65" t="b">
        <f>TEXT(导出!N83,"#.00")=TEXT(计算!N83, "#.00")</f>
        <v>1</v>
      </c>
      <c r="O85" s="65" t="b">
        <f>TEXT(导出!O83,"#.00")=TEXT(计算!O83, "#.00")</f>
        <v>1</v>
      </c>
      <c r="P85" s="65" t="b">
        <f>TEXT(导出!P83,"#.00")=TEXT(计算!P83, "#.00")</f>
        <v>1</v>
      </c>
      <c r="Q85" s="65" t="b">
        <f>TEXT(导出!Q83,"#.00")=TEXT(计算!Q83, "#.00")</f>
        <v>1</v>
      </c>
      <c r="R85" s="65" t="b">
        <f>TEXT(导出!R83,"#.00")=TEXT(计算!R83, "#.00")</f>
        <v>1</v>
      </c>
      <c r="S85" s="65" t="b">
        <f>TEXT(导出!S83,"#.00")=TEXT(计算!S83, "#.00")</f>
        <v>1</v>
      </c>
      <c r="T85" s="65" t="b">
        <f>TEXT(导出!T83,"#.00")=TEXT(计算!T83, "#.00")</f>
        <v>1</v>
      </c>
      <c r="U85" s="65" t="b">
        <f>TEXT(导出!U83,"#.00")=TEXT(计算!U83, "#.00")</f>
        <v>1</v>
      </c>
      <c r="V85" s="65" t="b">
        <f>TEXT(导出!V83,"#.00")=TEXT(计算!V83*100, "#.00")</f>
        <v>1</v>
      </c>
      <c r="W85" s="65" t="b">
        <f>TEXT(导出!W83,"#.00")=TEXT(计算!W83, "#.00")</f>
        <v>1</v>
      </c>
      <c r="X85" s="65" t="b">
        <f>TEXT(导出!X83,"#.00")=TEXT(计算!X83, "#.00")</f>
        <v>1</v>
      </c>
      <c r="Y85" s="65" t="b">
        <f>TEXT(导出!Y83,"#.00")=TEXT(计算!Y83, "#.00")</f>
        <v>1</v>
      </c>
      <c r="Z85" s="65" t="b">
        <f>TEXT(导出!Z83,"#.00")=TEXT(计算!Z83, "#.00")</f>
        <v>1</v>
      </c>
      <c r="AA85" s="65" t="b">
        <f>TEXT(导出!AA83,"#.00")=TEXT(计算!AA83*100, "#.00")</f>
        <v>1</v>
      </c>
      <c r="AB85" s="65" t="b">
        <f>TEXT(导出!AB83,"#.00")=TEXT(计算!AB83, "#.00")</f>
        <v>1</v>
      </c>
      <c r="AC85" s="65" t="b">
        <f>TEXT(导出!AC83,"#.00")=TEXT(计算!AC83, "#.00")</f>
        <v>1</v>
      </c>
      <c r="AD85" s="65" t="b">
        <f>TEXT(导出!AD83,"#.00")=TEXT(计算!AD83, "#.00")</f>
        <v>1</v>
      </c>
      <c r="AE85" s="65" t="b">
        <f>ABS(导出!AE83-计算!AE83)&lt;10</f>
        <v>1</v>
      </c>
      <c r="AF85" s="65" t="b">
        <f>TEXT(ABS(导出!AF83),"#.00")=TEXT(ABS(计算!AF83), "#.00")</f>
        <v>1</v>
      </c>
      <c r="AG85" s="65" t="b">
        <f>TEXT(导出!AG83,"#.00")=TEXT(计算!AG83, "#.00")</f>
        <v>1</v>
      </c>
      <c r="AH85" s="65" t="b">
        <f>TEXT(导出!AH83,"#.00")=TEXT(计算!AH83, "#.00")</f>
        <v>1</v>
      </c>
      <c r="AI85">
        <v>0</v>
      </c>
      <c r="AJ85" s="3">
        <v>41912.686261574097</v>
      </c>
      <c r="AK85" s="2" t="s">
        <v>2080</v>
      </c>
    </row>
    <row r="86" spans="1:37" x14ac:dyDescent="0.15">
      <c r="A86" s="2" t="s">
        <v>2079</v>
      </c>
      <c r="B86">
        <v>746</v>
      </c>
      <c r="C86" s="3">
        <v>41361</v>
      </c>
      <c r="D86" s="2" t="s">
        <v>37</v>
      </c>
      <c r="E86" s="2" t="s">
        <v>2078</v>
      </c>
      <c r="F86" s="2" t="s">
        <v>38</v>
      </c>
      <c r="G86" s="2" t="s">
        <v>206</v>
      </c>
      <c r="H86" s="2" t="s">
        <v>207</v>
      </c>
      <c r="I86" s="65" t="b">
        <f>导出!I84=计算!I84</f>
        <v>1</v>
      </c>
      <c r="J86" s="65" t="b">
        <f>导出!J84=计算!J84</f>
        <v>1</v>
      </c>
      <c r="K86" s="65" t="b">
        <f>导出!K84=计算!K84</f>
        <v>1</v>
      </c>
      <c r="L86" s="65" t="b">
        <f>导出!L84=计算!L84</f>
        <v>1</v>
      </c>
      <c r="M86" s="65" t="b">
        <f>导出!M84=计算!M84</f>
        <v>1</v>
      </c>
      <c r="N86" s="65" t="b">
        <f>TEXT(导出!N84,"#.00")=TEXT(计算!N84, "#.00")</f>
        <v>1</v>
      </c>
      <c r="O86" s="65" t="b">
        <f>TEXT(导出!O84,"#.00")=TEXT(计算!O84, "#.00")</f>
        <v>1</v>
      </c>
      <c r="P86" s="65" t="b">
        <f>TEXT(导出!P84,"#.00")=TEXT(计算!P84, "#.00")</f>
        <v>1</v>
      </c>
      <c r="Q86" s="65" t="b">
        <f>TEXT(导出!Q84,"#.00")=TEXT(计算!Q84, "#.00")</f>
        <v>1</v>
      </c>
      <c r="R86" s="65" t="b">
        <f>TEXT(导出!R84,"#.00")=TEXT(计算!R84, "#.00")</f>
        <v>1</v>
      </c>
      <c r="S86" s="65" t="b">
        <f>TEXT(导出!S84,"#.00")=TEXT(计算!S84, "#.00")</f>
        <v>1</v>
      </c>
      <c r="T86" s="65" t="b">
        <f>TEXT(导出!T84,"#.00")=TEXT(计算!T84, "#.00")</f>
        <v>1</v>
      </c>
      <c r="U86" s="65" t="b">
        <f>TEXT(导出!U84,"#.00")=TEXT(计算!U84, "#.00")</f>
        <v>1</v>
      </c>
      <c r="V86" s="65" t="b">
        <f>TEXT(导出!V84,"#.00")=TEXT(计算!V84*100, "#.00")</f>
        <v>1</v>
      </c>
      <c r="W86" s="65" t="b">
        <f>TEXT(导出!W84,"#.00")=TEXT(计算!W84, "#.00")</f>
        <v>1</v>
      </c>
      <c r="X86" s="65" t="b">
        <f>TEXT(导出!X84,"#.00")=TEXT(计算!X84, "#.00")</f>
        <v>1</v>
      </c>
      <c r="Y86" s="65" t="b">
        <f>TEXT(导出!Y84,"#.00")=TEXT(计算!Y84, "#.00")</f>
        <v>1</v>
      </c>
      <c r="Z86" s="65" t="b">
        <f>TEXT(导出!Z84,"#.00")=TEXT(计算!Z84, "#.00")</f>
        <v>1</v>
      </c>
      <c r="AA86" s="65" t="b">
        <f>TEXT(导出!AA84,"#.00")=TEXT(计算!AA84*100, "#.00")</f>
        <v>1</v>
      </c>
      <c r="AB86" s="65" t="b">
        <f>TEXT(导出!AB84,"#.00")=TEXT(计算!AB84, "#.00")</f>
        <v>1</v>
      </c>
      <c r="AC86" s="65" t="b">
        <f>TEXT(导出!AC84,"#.00")=TEXT(计算!AC84, "#.00")</f>
        <v>1</v>
      </c>
      <c r="AD86" s="65" t="b">
        <f>TEXT(导出!AD84,"#.00")=TEXT(计算!AD84, "#.00")</f>
        <v>1</v>
      </c>
      <c r="AE86" s="65" t="b">
        <f>ABS(导出!AE84-计算!AE84)&lt;10</f>
        <v>1</v>
      </c>
      <c r="AF86" s="65" t="b">
        <f>TEXT(ABS(导出!AF84),"#.00")=TEXT(ABS(计算!AF84), "#.00")</f>
        <v>1</v>
      </c>
      <c r="AG86" s="65" t="b">
        <f>TEXT(导出!AG84,"#.00")=TEXT(计算!AG84, "#.00")</f>
        <v>1</v>
      </c>
      <c r="AH86" s="65" t="b">
        <f>TEXT(导出!AH84,"#.00")=TEXT(计算!AH84, "#.00")</f>
        <v>1</v>
      </c>
      <c r="AI86">
        <v>0</v>
      </c>
      <c r="AJ86" s="3">
        <v>41912.686261574097</v>
      </c>
      <c r="AK86" s="2" t="s">
        <v>2077</v>
      </c>
    </row>
    <row r="87" spans="1:37" x14ac:dyDescent="0.15">
      <c r="A87" s="2" t="s">
        <v>2076</v>
      </c>
      <c r="B87">
        <v>113</v>
      </c>
      <c r="C87" s="3">
        <v>41365</v>
      </c>
      <c r="D87" s="2" t="s">
        <v>37</v>
      </c>
      <c r="E87" s="2" t="s">
        <v>2075</v>
      </c>
      <c r="F87" s="2" t="s">
        <v>41</v>
      </c>
      <c r="G87" s="2" t="s">
        <v>210</v>
      </c>
      <c r="H87" s="2" t="s">
        <v>211</v>
      </c>
      <c r="I87" s="65" t="b">
        <f>导出!I85=计算!I85</f>
        <v>1</v>
      </c>
      <c r="J87" s="65" t="b">
        <f>导出!J85=计算!J85</f>
        <v>1</v>
      </c>
      <c r="K87" s="65" t="b">
        <f>导出!K85=计算!K85</f>
        <v>1</v>
      </c>
      <c r="L87" s="65" t="b">
        <f>导出!L85=计算!L85</f>
        <v>1</v>
      </c>
      <c r="M87" s="65" t="b">
        <f>导出!M85=计算!M85</f>
        <v>1</v>
      </c>
      <c r="N87" s="65" t="b">
        <f>TEXT(导出!N85,"#.00")=TEXT(计算!N85, "#.00")</f>
        <v>1</v>
      </c>
      <c r="O87" s="65" t="b">
        <f>TEXT(导出!O85,"#.00")=TEXT(计算!O85, "#.00")</f>
        <v>1</v>
      </c>
      <c r="P87" s="65" t="b">
        <f>TEXT(导出!P85,"#.00")=TEXT(计算!P85, "#.00")</f>
        <v>1</v>
      </c>
      <c r="Q87" s="65" t="b">
        <f>TEXT(导出!Q85,"#.00")=TEXT(计算!Q85, "#.00")</f>
        <v>1</v>
      </c>
      <c r="R87" s="65" t="b">
        <f>TEXT(导出!R85,"#.00")=TEXT(计算!R85, "#.00")</f>
        <v>1</v>
      </c>
      <c r="S87" s="65" t="b">
        <f>TEXT(导出!S85,"#.00")=TEXT(计算!S85, "#.00")</f>
        <v>1</v>
      </c>
      <c r="T87" s="65" t="b">
        <f>TEXT(导出!T85,"#.00")=TEXT(计算!T85, "#.00")</f>
        <v>1</v>
      </c>
      <c r="U87" s="65" t="b">
        <f>TEXT(导出!U85,"#.00")=TEXT(计算!U85, "#.00")</f>
        <v>1</v>
      </c>
      <c r="V87" s="65" t="b">
        <f>TEXT(导出!V85,"#.00")=TEXT(计算!V85*100, "#.00")</f>
        <v>1</v>
      </c>
      <c r="W87" s="65" t="b">
        <f>TEXT(导出!W85,"#.00")=TEXT(计算!W85, "#.00")</f>
        <v>1</v>
      </c>
      <c r="X87" s="65" t="b">
        <f>TEXT(导出!X85,"#.00")=TEXT(计算!X85, "#.00")</f>
        <v>1</v>
      </c>
      <c r="Y87" s="65" t="b">
        <f>TEXT(导出!Y85,"#.00")=TEXT(计算!Y85, "#.00")</f>
        <v>1</v>
      </c>
      <c r="Z87" s="65" t="b">
        <f>TEXT(导出!Z85,"#.00")=TEXT(计算!Z85, "#.00")</f>
        <v>1</v>
      </c>
      <c r="AA87" s="65" t="b">
        <f>TEXT(导出!AA85,"#.00")=TEXT(计算!AA85*100, "#.00")</f>
        <v>1</v>
      </c>
      <c r="AB87" s="65" t="b">
        <f>TEXT(导出!AB85,"#.00")=TEXT(计算!AB85, "#.00")</f>
        <v>1</v>
      </c>
      <c r="AC87" s="65" t="b">
        <f>TEXT(导出!AC85,"#.00")=TEXT(计算!AC85, "#.00")</f>
        <v>1</v>
      </c>
      <c r="AD87" s="65" t="b">
        <f>TEXT(导出!AD85,"#.00")=TEXT(计算!AD85, "#.00")</f>
        <v>1</v>
      </c>
      <c r="AE87" s="65" t="b">
        <f>ABS(导出!AE85-计算!AE85)&lt;10</f>
        <v>1</v>
      </c>
      <c r="AF87" s="65" t="b">
        <f>TEXT(ABS(导出!AF85),"#.00")=TEXT(ABS(计算!AF85), "#.00")</f>
        <v>1</v>
      </c>
      <c r="AG87" s="65" t="b">
        <f>TEXT(导出!AG85,"#.00")=TEXT(计算!AG85, "#.00")</f>
        <v>1</v>
      </c>
      <c r="AH87" s="65" t="b">
        <f>TEXT(导出!AH85,"#.00")=TEXT(计算!AH85, "#.00")</f>
        <v>1</v>
      </c>
      <c r="AI87">
        <v>0</v>
      </c>
      <c r="AJ87" s="3">
        <v>41912.6862384259</v>
      </c>
      <c r="AK87" s="2" t="s">
        <v>2074</v>
      </c>
    </row>
    <row r="88" spans="1:37" x14ac:dyDescent="0.15">
      <c r="A88" s="2" t="s">
        <v>2073</v>
      </c>
      <c r="B88">
        <v>771</v>
      </c>
      <c r="C88" s="3">
        <v>41365</v>
      </c>
      <c r="D88" s="2" t="s">
        <v>37</v>
      </c>
      <c r="E88" s="2" t="s">
        <v>2072</v>
      </c>
      <c r="F88" s="2" t="s">
        <v>38</v>
      </c>
      <c r="G88" s="2" t="s">
        <v>208</v>
      </c>
      <c r="H88" s="2" t="s">
        <v>209</v>
      </c>
      <c r="I88" s="65" t="b">
        <f>导出!I86=计算!I86</f>
        <v>1</v>
      </c>
      <c r="J88" s="65" t="b">
        <f>导出!J86=计算!J86</f>
        <v>1</v>
      </c>
      <c r="K88" s="65" t="b">
        <f>导出!K86=计算!K86</f>
        <v>1</v>
      </c>
      <c r="L88" s="65" t="b">
        <f>导出!L86=计算!L86</f>
        <v>1</v>
      </c>
      <c r="M88" s="65" t="b">
        <f>导出!M86=计算!M86</f>
        <v>1</v>
      </c>
      <c r="N88" s="65" t="b">
        <f>TEXT(导出!N86,"#.00")=TEXT(计算!N86, "#.00")</f>
        <v>1</v>
      </c>
      <c r="O88" s="65" t="b">
        <f>TEXT(导出!O86,"#.00")=TEXT(计算!O86, "#.00")</f>
        <v>1</v>
      </c>
      <c r="P88" s="65" t="b">
        <f>TEXT(导出!P86,"#.00")=TEXT(计算!P86, "#.00")</f>
        <v>1</v>
      </c>
      <c r="Q88" s="65" t="b">
        <f>TEXT(导出!Q86,"#.00")=TEXT(计算!Q86, "#.00")</f>
        <v>0</v>
      </c>
      <c r="R88" s="65" t="b">
        <f>TEXT(导出!R86,"#.00")=TEXT(计算!R86, "#.00")</f>
        <v>1</v>
      </c>
      <c r="S88" s="65" t="b">
        <f>TEXT(导出!S86,"#.00")=TEXT(计算!S86, "#.00")</f>
        <v>1</v>
      </c>
      <c r="T88" s="65" t="b">
        <f>TEXT(导出!T86,"#.00")=TEXT(计算!T86, "#.00")</f>
        <v>1</v>
      </c>
      <c r="U88" s="65" t="b">
        <f>TEXT(导出!U86,"#.00")=TEXT(计算!U86, "#.00")</f>
        <v>1</v>
      </c>
      <c r="V88" s="65" t="b">
        <f>TEXT(导出!V86,"#.00")=TEXT(计算!V86*100, "#.00")</f>
        <v>1</v>
      </c>
      <c r="W88" s="65" t="b">
        <f>TEXT(导出!W86,"#.00")=TEXT(计算!W86, "#.00")</f>
        <v>1</v>
      </c>
      <c r="X88" s="65" t="b">
        <f>TEXT(导出!X86,"#.00")=TEXT(计算!X86, "#.00")</f>
        <v>1</v>
      </c>
      <c r="Y88" s="65" t="b">
        <f>TEXT(导出!Y86,"#.00")=TEXT(计算!Y86, "#.00")</f>
        <v>1</v>
      </c>
      <c r="Z88" s="65" t="b">
        <f>TEXT(导出!Z86,"#.00")=TEXT(计算!Z86, "#.00")</f>
        <v>1</v>
      </c>
      <c r="AA88" s="65" t="b">
        <f>TEXT(导出!AA86,"#.00")=TEXT(计算!AA86*100, "#.00")</f>
        <v>1</v>
      </c>
      <c r="AB88" s="65" t="b">
        <f>TEXT(导出!AB86,"#.00")=TEXT(计算!AB86, "#.00")</f>
        <v>1</v>
      </c>
      <c r="AC88" s="65" t="b">
        <f>TEXT(导出!AC86,"#.00")=TEXT(计算!AC86, "#.00")</f>
        <v>1</v>
      </c>
      <c r="AD88" s="65" t="b">
        <f>TEXT(导出!AD86,"#.00")=TEXT(计算!AD86, "#.00")</f>
        <v>1</v>
      </c>
      <c r="AE88" s="65" t="b">
        <f>ABS(导出!AE86-计算!AE86)&lt;10</f>
        <v>1</v>
      </c>
      <c r="AF88" s="65" t="b">
        <f>TEXT(ABS(导出!AF86),"#.00")=TEXT(ABS(计算!AF86), "#.00")</f>
        <v>1</v>
      </c>
      <c r="AG88" s="65" t="b">
        <f>TEXT(导出!AG86,"#.00")=TEXT(计算!AG86, "#.00")</f>
        <v>1</v>
      </c>
      <c r="AH88" s="65" t="b">
        <f>TEXT(导出!AH86,"#.00")=TEXT(计算!AH86, "#.00")</f>
        <v>1</v>
      </c>
      <c r="AI88">
        <v>0</v>
      </c>
      <c r="AJ88" s="3">
        <v>41912.686273148101</v>
      </c>
      <c r="AK88" s="2" t="s">
        <v>2071</v>
      </c>
    </row>
    <row r="89" spans="1:37" x14ac:dyDescent="0.15">
      <c r="A89" s="2" t="s">
        <v>2070</v>
      </c>
      <c r="B89">
        <v>780</v>
      </c>
      <c r="C89" s="3">
        <v>41365</v>
      </c>
      <c r="D89" s="2" t="s">
        <v>37</v>
      </c>
      <c r="E89" s="2" t="s">
        <v>2069</v>
      </c>
      <c r="F89" s="2" t="s">
        <v>38</v>
      </c>
      <c r="G89" s="2" t="s">
        <v>212</v>
      </c>
      <c r="H89" s="2" t="s">
        <v>213</v>
      </c>
      <c r="I89" s="65" t="b">
        <f>导出!I87=计算!I87</f>
        <v>1</v>
      </c>
      <c r="J89" s="65" t="b">
        <f>导出!J87=计算!J87</f>
        <v>1</v>
      </c>
      <c r="K89" s="65" t="b">
        <f>导出!K87=计算!K87</f>
        <v>1</v>
      </c>
      <c r="L89" s="65" t="b">
        <f>导出!L87=计算!L87</f>
        <v>1</v>
      </c>
      <c r="M89" s="65" t="b">
        <f>导出!M87=计算!M87</f>
        <v>1</v>
      </c>
      <c r="N89" s="65" t="b">
        <f>TEXT(导出!N87,"#.00")=TEXT(计算!N87, "#.00")</f>
        <v>1</v>
      </c>
      <c r="O89" s="65" t="b">
        <f>TEXT(导出!O87,"#.00")=TEXT(计算!O87, "#.00")</f>
        <v>1</v>
      </c>
      <c r="P89" s="65" t="b">
        <f>TEXT(导出!P87,"#.00")=TEXT(计算!P87, "#.00")</f>
        <v>1</v>
      </c>
      <c r="Q89" s="65" t="b">
        <f>TEXT(导出!Q87,"#.00")=TEXT(计算!Q87, "#.00")</f>
        <v>1</v>
      </c>
      <c r="R89" s="65" t="b">
        <f>TEXT(导出!R87,"#.00")=TEXT(计算!R87, "#.00")</f>
        <v>1</v>
      </c>
      <c r="S89" s="65" t="b">
        <f>TEXT(导出!S87,"#.00")=TEXT(计算!S87, "#.00")</f>
        <v>1</v>
      </c>
      <c r="T89" s="65" t="b">
        <f>TEXT(导出!T87,"#.00")=TEXT(计算!T87, "#.00")</f>
        <v>1</v>
      </c>
      <c r="U89" s="65" t="b">
        <f>TEXT(导出!U87,"#.00")=TEXT(计算!U87, "#.00")</f>
        <v>1</v>
      </c>
      <c r="V89" s="65" t="b">
        <f>TEXT(导出!V87,"#.00")=TEXT(计算!V87*100, "#.00")</f>
        <v>1</v>
      </c>
      <c r="W89" s="65" t="b">
        <f>TEXT(导出!W87,"#.00")=TEXT(计算!W87, "#.00")</f>
        <v>1</v>
      </c>
      <c r="X89" s="65" t="b">
        <f>TEXT(导出!X87,"#.00")=TEXT(计算!X87, "#.00")</f>
        <v>1</v>
      </c>
      <c r="Y89" s="65" t="b">
        <f>TEXT(导出!Y87,"#.00")=TEXT(计算!Y87, "#.00")</f>
        <v>1</v>
      </c>
      <c r="Z89" s="65" t="b">
        <f>TEXT(导出!Z87,"#.00")=TEXT(计算!Z87, "#.00")</f>
        <v>1</v>
      </c>
      <c r="AA89" s="65" t="b">
        <f>TEXT(导出!AA87,"#.00")=TEXT(计算!AA87*100, "#.00")</f>
        <v>1</v>
      </c>
      <c r="AB89" s="65" t="b">
        <f>TEXT(导出!AB87,"#.00")=TEXT(计算!AB87, "#.00")</f>
        <v>1</v>
      </c>
      <c r="AC89" s="65" t="b">
        <f>TEXT(导出!AC87,"#.00")=TEXT(计算!AC87, "#.00")</f>
        <v>1</v>
      </c>
      <c r="AD89" s="65" t="b">
        <f>TEXT(导出!AD87,"#.00")=TEXT(计算!AD87, "#.00")</f>
        <v>1</v>
      </c>
      <c r="AE89" s="65" t="b">
        <f>ABS(导出!AE87-计算!AE87)&lt;10</f>
        <v>1</v>
      </c>
      <c r="AF89" s="65" t="b">
        <f>TEXT(ABS(导出!AF87),"#.00")=TEXT(ABS(计算!AF87), "#.00")</f>
        <v>1</v>
      </c>
      <c r="AG89" s="65" t="b">
        <f>TEXT(导出!AG87,"#.00")=TEXT(计算!AG87, "#.00")</f>
        <v>1</v>
      </c>
      <c r="AH89" s="65" t="b">
        <f>TEXT(导出!AH87,"#.00")=TEXT(计算!AH87, "#.00")</f>
        <v>1</v>
      </c>
      <c r="AI89">
        <v>0</v>
      </c>
      <c r="AJ89" s="3">
        <v>41912.686273148101</v>
      </c>
      <c r="AK89" s="2" t="s">
        <v>2068</v>
      </c>
    </row>
    <row r="90" spans="1:37" x14ac:dyDescent="0.15">
      <c r="A90" s="2" t="s">
        <v>2067</v>
      </c>
      <c r="B90">
        <v>763</v>
      </c>
      <c r="C90" s="3">
        <v>41377</v>
      </c>
      <c r="D90" s="2" t="s">
        <v>37</v>
      </c>
      <c r="E90" s="2" t="s">
        <v>2066</v>
      </c>
      <c r="F90" s="2" t="s">
        <v>38</v>
      </c>
      <c r="G90" s="2" t="s">
        <v>214</v>
      </c>
      <c r="H90" s="2" t="s">
        <v>215</v>
      </c>
      <c r="I90" s="65" t="b">
        <f>导出!I88=计算!I88</f>
        <v>1</v>
      </c>
      <c r="J90" s="65" t="b">
        <f>导出!J88=计算!J88</f>
        <v>1</v>
      </c>
      <c r="K90" s="65" t="b">
        <f>导出!K88=计算!K88</f>
        <v>1</v>
      </c>
      <c r="L90" s="65" t="b">
        <f>导出!L88=计算!L88</f>
        <v>1</v>
      </c>
      <c r="M90" s="65" t="b">
        <f>导出!M88=计算!M88</f>
        <v>1</v>
      </c>
      <c r="N90" s="65" t="b">
        <f>TEXT(导出!N88,"#.00")=TEXT(计算!N88, "#.00")</f>
        <v>1</v>
      </c>
      <c r="O90" s="65" t="b">
        <f>TEXT(导出!O88,"#.00")=TEXT(计算!O88, "#.00")</f>
        <v>1</v>
      </c>
      <c r="P90" s="65" t="b">
        <f>TEXT(导出!P88,"#.00")=TEXT(计算!P88, "#.00")</f>
        <v>1</v>
      </c>
      <c r="Q90" s="65" t="b">
        <f>TEXT(导出!Q88,"#.00")=TEXT(计算!Q88, "#.00")</f>
        <v>1</v>
      </c>
      <c r="R90" s="65" t="b">
        <f>TEXT(导出!R88,"#.00")=TEXT(计算!R88, "#.00")</f>
        <v>1</v>
      </c>
      <c r="S90" s="65" t="b">
        <f>TEXT(导出!S88,"#.00")=TEXT(计算!S88, "#.00")</f>
        <v>1</v>
      </c>
      <c r="T90" s="65" t="b">
        <f>TEXT(导出!T88,"#.00")=TEXT(计算!T88, "#.00")</f>
        <v>1</v>
      </c>
      <c r="U90" s="65" t="b">
        <f>TEXT(导出!U88,"#.00")=TEXT(计算!U88, "#.00")</f>
        <v>1</v>
      </c>
      <c r="V90" s="65" t="b">
        <f>TEXT(导出!V88,"#.00")=TEXT(计算!V88*100, "#.00")</f>
        <v>1</v>
      </c>
      <c r="W90" s="65" t="b">
        <f>TEXT(导出!W88,"#.00")=TEXT(计算!W88, "#.00")</f>
        <v>1</v>
      </c>
      <c r="X90" s="65" t="b">
        <f>TEXT(导出!X88,"#.00")=TEXT(计算!X88, "#.00")</f>
        <v>1</v>
      </c>
      <c r="Y90" s="65" t="b">
        <f>TEXT(导出!Y88,"#.00")=TEXT(计算!Y88, "#.00")</f>
        <v>1</v>
      </c>
      <c r="Z90" s="65" t="b">
        <f>TEXT(导出!Z88,"#.00")=TEXT(计算!Z88, "#.00")</f>
        <v>1</v>
      </c>
      <c r="AA90" s="65" t="b">
        <f>TEXT(导出!AA88,"#.00")=TEXT(计算!AA88*100, "#.00")</f>
        <v>1</v>
      </c>
      <c r="AB90" s="65" t="b">
        <f>TEXT(导出!AB88,"#.00")=TEXT(计算!AB88, "#.00")</f>
        <v>1</v>
      </c>
      <c r="AC90" s="65" t="b">
        <f>TEXT(导出!AC88,"#.00")=TEXT(计算!AC88, "#.00")</f>
        <v>1</v>
      </c>
      <c r="AD90" s="65" t="b">
        <f>TEXT(导出!AD88,"#.00")=TEXT(计算!AD88, "#.00")</f>
        <v>1</v>
      </c>
      <c r="AE90" s="65" t="b">
        <f>ABS(导出!AE88-计算!AE88)&lt;10</f>
        <v>1</v>
      </c>
      <c r="AF90" s="65" t="b">
        <f>TEXT(ABS(导出!AF88),"#.00")=TEXT(ABS(计算!AF88), "#.00")</f>
        <v>1</v>
      </c>
      <c r="AG90" s="65" t="b">
        <f>TEXT(导出!AG88,"#.00")=TEXT(计算!AG88, "#.00")</f>
        <v>1</v>
      </c>
      <c r="AH90" s="65" t="b">
        <f>TEXT(导出!AH88,"#.00")=TEXT(计算!AH88, "#.00")</f>
        <v>1</v>
      </c>
      <c r="AI90">
        <v>0</v>
      </c>
      <c r="AJ90" s="3">
        <v>41912.686273148101</v>
      </c>
      <c r="AK90" s="2" t="s">
        <v>2065</v>
      </c>
    </row>
    <row r="91" spans="1:37" x14ac:dyDescent="0.15">
      <c r="A91" s="2" t="s">
        <v>2064</v>
      </c>
      <c r="B91">
        <v>794</v>
      </c>
      <c r="C91" s="3">
        <v>41395</v>
      </c>
      <c r="D91" s="2" t="s">
        <v>37</v>
      </c>
      <c r="E91" s="2" t="s">
        <v>2063</v>
      </c>
      <c r="F91" s="2" t="s">
        <v>38</v>
      </c>
      <c r="G91" s="2" t="s">
        <v>218</v>
      </c>
      <c r="H91" s="2" t="s">
        <v>219</v>
      </c>
      <c r="I91" s="65" t="b">
        <f>导出!I89=计算!I89</f>
        <v>1</v>
      </c>
      <c r="J91" s="65" t="b">
        <f>导出!J89=计算!J89</f>
        <v>1</v>
      </c>
      <c r="K91" s="65" t="b">
        <f>导出!K89=计算!K89</f>
        <v>1</v>
      </c>
      <c r="L91" s="65" t="b">
        <f>导出!L89=计算!L89</f>
        <v>1</v>
      </c>
      <c r="M91" s="65" t="b">
        <f>导出!M89=计算!M89</f>
        <v>1</v>
      </c>
      <c r="N91" s="65" t="b">
        <f>TEXT(导出!N89,"#.00")=TEXT(计算!N89, "#.00")</f>
        <v>1</v>
      </c>
      <c r="O91" s="65" t="b">
        <f>TEXT(导出!O89,"#.00")=TEXT(计算!O89, "#.00")</f>
        <v>1</v>
      </c>
      <c r="P91" s="65" t="b">
        <f>TEXT(导出!P89,"#.00")=TEXT(计算!P89, "#.00")</f>
        <v>1</v>
      </c>
      <c r="Q91" s="65" t="b">
        <f>TEXT(导出!Q89,"#.00")=TEXT(计算!Q89, "#.00")</f>
        <v>1</v>
      </c>
      <c r="R91" s="65" t="b">
        <f>TEXT(导出!R89,"#.00")=TEXT(计算!R89, "#.00")</f>
        <v>1</v>
      </c>
      <c r="S91" s="65" t="b">
        <f>TEXT(导出!S89,"#.00")=TEXT(计算!S89, "#.00")</f>
        <v>1</v>
      </c>
      <c r="T91" s="65" t="b">
        <f>TEXT(导出!T89,"#.00")=TEXT(计算!T89, "#.00")</f>
        <v>1</v>
      </c>
      <c r="U91" s="65" t="b">
        <f>TEXT(导出!U89,"#.00")=TEXT(计算!U89, "#.00")</f>
        <v>1</v>
      </c>
      <c r="V91" s="65" t="b">
        <f>TEXT(导出!V89,"#.00")=TEXT(计算!V89*100, "#.00")</f>
        <v>1</v>
      </c>
      <c r="W91" s="65" t="b">
        <f>TEXT(导出!W89,"#.00")=TEXT(计算!W89, "#.00")</f>
        <v>1</v>
      </c>
      <c r="X91" s="65" t="b">
        <f>TEXT(导出!X89,"#.00")=TEXT(计算!X89, "#.00")</f>
        <v>1</v>
      </c>
      <c r="Y91" s="65" t="b">
        <f>TEXT(导出!Y89,"#.00")=TEXT(计算!Y89, "#.00")</f>
        <v>1</v>
      </c>
      <c r="Z91" s="65" t="b">
        <f>TEXT(导出!Z89,"#.00")=TEXT(计算!Z89, "#.00")</f>
        <v>1</v>
      </c>
      <c r="AA91" s="65" t="b">
        <f>TEXT(导出!AA89,"#.00")=TEXT(计算!AA89*100, "#.00")</f>
        <v>1</v>
      </c>
      <c r="AB91" s="65" t="b">
        <f>TEXT(导出!AB89,"#.00")=TEXT(计算!AB89, "#.00")</f>
        <v>1</v>
      </c>
      <c r="AC91" s="65" t="b">
        <f>TEXT(导出!AC89,"#.00")=TEXT(计算!AC89, "#.00")</f>
        <v>1</v>
      </c>
      <c r="AD91" s="65" t="b">
        <f>TEXT(导出!AD89,"#.00")=TEXT(计算!AD89, "#.00")</f>
        <v>1</v>
      </c>
      <c r="AE91" s="65" t="b">
        <f>ABS(导出!AE89-计算!AE89)&lt;10</f>
        <v>1</v>
      </c>
      <c r="AF91" s="65" t="b">
        <f>TEXT(ABS(导出!AF89),"#.00")=TEXT(ABS(计算!AF89), "#.00")</f>
        <v>1</v>
      </c>
      <c r="AG91" s="65" t="b">
        <f>TEXT(导出!AG89,"#.00")=TEXT(计算!AG89, "#.00")</f>
        <v>1</v>
      </c>
      <c r="AH91" s="65" t="b">
        <f>TEXT(导出!AH89,"#.00")=TEXT(计算!AH89, "#.00")</f>
        <v>1</v>
      </c>
      <c r="AI91">
        <v>0</v>
      </c>
      <c r="AJ91" s="3">
        <v>41912.686273148101</v>
      </c>
      <c r="AK91" s="2" t="s">
        <v>2062</v>
      </c>
    </row>
    <row r="92" spans="1:37" x14ac:dyDescent="0.15">
      <c r="A92" s="2" t="s">
        <v>2061</v>
      </c>
      <c r="B92">
        <v>118</v>
      </c>
      <c r="C92" s="3">
        <v>41395</v>
      </c>
      <c r="D92" s="2" t="s">
        <v>37</v>
      </c>
      <c r="E92" s="2" t="s">
        <v>2060</v>
      </c>
      <c r="F92" s="2" t="s">
        <v>41</v>
      </c>
      <c r="G92" s="2" t="s">
        <v>223</v>
      </c>
      <c r="H92" s="2" t="s">
        <v>224</v>
      </c>
      <c r="I92" s="65" t="b">
        <f>导出!I90=计算!I90</f>
        <v>1</v>
      </c>
      <c r="J92" s="65" t="b">
        <f>导出!J90=计算!J90</f>
        <v>1</v>
      </c>
      <c r="K92" s="65" t="b">
        <f>导出!K90=计算!K90</f>
        <v>1</v>
      </c>
      <c r="L92" s="65" t="b">
        <f>导出!L90=计算!L90</f>
        <v>1</v>
      </c>
      <c r="M92" s="65" t="b">
        <f>导出!M90=计算!M90</f>
        <v>1</v>
      </c>
      <c r="N92" s="65" t="b">
        <f>TEXT(导出!N90,"#.00")=TEXT(计算!N90, "#.00")</f>
        <v>1</v>
      </c>
      <c r="O92" s="65" t="b">
        <f>TEXT(导出!O90,"#.00")=TEXT(计算!O90, "#.00")</f>
        <v>1</v>
      </c>
      <c r="P92" s="65" t="b">
        <f>TEXT(导出!P90,"#.00")=TEXT(计算!P90, "#.00")</f>
        <v>1</v>
      </c>
      <c r="Q92" s="65" t="b">
        <f>TEXT(导出!Q90,"#.00")=TEXT(计算!Q90, "#.00")</f>
        <v>1</v>
      </c>
      <c r="R92" s="65" t="b">
        <f>TEXT(导出!R90,"#.00")=TEXT(计算!R90, "#.00")</f>
        <v>1</v>
      </c>
      <c r="S92" s="65" t="b">
        <f>TEXT(导出!S90,"#.00")=TEXT(计算!S90, "#.00")</f>
        <v>1</v>
      </c>
      <c r="T92" s="65" t="b">
        <f>TEXT(导出!T90,"#.00")=TEXT(计算!T90, "#.00")</f>
        <v>1</v>
      </c>
      <c r="U92" s="65" t="b">
        <f>TEXT(导出!U90,"#.00")=TEXT(计算!U90, "#.00")</f>
        <v>1</v>
      </c>
      <c r="V92" s="65" t="b">
        <f>TEXT(导出!V90,"#.00")=TEXT(计算!V90*100, "#.00")</f>
        <v>1</v>
      </c>
      <c r="W92" s="65" t="b">
        <f>TEXT(导出!W90,"#.00")=TEXT(计算!W90, "#.00")</f>
        <v>1</v>
      </c>
      <c r="X92" s="65" t="b">
        <f>TEXT(导出!X90,"#.00")=TEXT(计算!X90, "#.00")</f>
        <v>1</v>
      </c>
      <c r="Y92" s="65" t="b">
        <f>TEXT(导出!Y90,"#.00")=TEXT(计算!Y90, "#.00")</f>
        <v>1</v>
      </c>
      <c r="Z92" s="65" t="b">
        <f>TEXT(导出!Z90,"#.00")=TEXT(计算!Z90, "#.00")</f>
        <v>1</v>
      </c>
      <c r="AA92" s="65" t="b">
        <f>TEXT(导出!AA90,"#.00")=TEXT(计算!AA90*100, "#.00")</f>
        <v>1</v>
      </c>
      <c r="AB92" s="65" t="b">
        <f>TEXT(导出!AB90,"#.00")=TEXT(计算!AB90, "#.00")</f>
        <v>1</v>
      </c>
      <c r="AC92" s="65" t="b">
        <f>TEXT(导出!AC90,"#.00")=TEXT(计算!AC90, "#.00")</f>
        <v>1</v>
      </c>
      <c r="AD92" s="65" t="b">
        <f>TEXT(导出!AD90,"#.00")=TEXT(计算!AD90, "#.00")</f>
        <v>1</v>
      </c>
      <c r="AE92" s="65" t="b">
        <f>ABS(导出!AE90-计算!AE90)&lt;10</f>
        <v>1</v>
      </c>
      <c r="AF92" s="65" t="b">
        <f>TEXT(ABS(导出!AF90),"#.00")=TEXT(ABS(计算!AF90), "#.00")</f>
        <v>1</v>
      </c>
      <c r="AG92" s="65" t="b">
        <f>TEXT(导出!AG90,"#.00")=TEXT(计算!AG90, "#.00")</f>
        <v>1</v>
      </c>
      <c r="AH92" s="65" t="b">
        <f>TEXT(导出!AH90,"#.00")=TEXT(计算!AH90, "#.00")</f>
        <v>1</v>
      </c>
      <c r="AI92">
        <v>0</v>
      </c>
      <c r="AJ92" s="3">
        <v>41912.6862384259</v>
      </c>
      <c r="AK92" s="2" t="s">
        <v>2059</v>
      </c>
    </row>
    <row r="93" spans="1:37" x14ac:dyDescent="0.15">
      <c r="A93" s="2" t="s">
        <v>2058</v>
      </c>
      <c r="B93">
        <v>802</v>
      </c>
      <c r="C93" s="3">
        <v>41395</v>
      </c>
      <c r="D93" s="2" t="s">
        <v>37</v>
      </c>
      <c r="E93" s="2" t="s">
        <v>2057</v>
      </c>
      <c r="F93" s="2" t="s">
        <v>38</v>
      </c>
      <c r="G93" s="2" t="s">
        <v>220</v>
      </c>
      <c r="H93" s="2" t="s">
        <v>221</v>
      </c>
      <c r="I93" s="65" t="b">
        <f>导出!I91=计算!I91</f>
        <v>1</v>
      </c>
      <c r="J93" s="65" t="b">
        <f>导出!J91=计算!J91</f>
        <v>1</v>
      </c>
      <c r="K93" s="65" t="b">
        <f>导出!K91=计算!K91</f>
        <v>1</v>
      </c>
      <c r="L93" s="65" t="b">
        <f>导出!L91=计算!L91</f>
        <v>1</v>
      </c>
      <c r="M93" s="65" t="b">
        <f>导出!M91=计算!M91</f>
        <v>1</v>
      </c>
      <c r="N93" s="65" t="b">
        <f>TEXT(导出!N91,"#.00")=TEXT(计算!N91, "#.00")</f>
        <v>1</v>
      </c>
      <c r="O93" s="65" t="b">
        <f>TEXT(导出!O91,"#.00")=TEXT(计算!O91, "#.00")</f>
        <v>1</v>
      </c>
      <c r="P93" s="65" t="b">
        <f>TEXT(导出!P91,"#.00")=TEXT(计算!P91, "#.00")</f>
        <v>1</v>
      </c>
      <c r="Q93" s="65" t="b">
        <f>TEXT(导出!Q91,"#.00")=TEXT(计算!Q91, "#.00")</f>
        <v>0</v>
      </c>
      <c r="R93" s="65" t="b">
        <f>TEXT(导出!R91,"#.00")=TEXT(计算!R91, "#.00")</f>
        <v>1</v>
      </c>
      <c r="S93" s="65" t="b">
        <f>TEXT(导出!S91,"#.00")=TEXT(计算!S91, "#.00")</f>
        <v>1</v>
      </c>
      <c r="T93" s="65" t="b">
        <f>TEXT(导出!T91,"#.00")=TEXT(计算!T91, "#.00")</f>
        <v>1</v>
      </c>
      <c r="U93" s="65" t="b">
        <f>TEXT(导出!U91,"#.00")=TEXT(计算!U91, "#.00")</f>
        <v>1</v>
      </c>
      <c r="V93" s="65" t="b">
        <f>TEXT(导出!V91,"#.00")=TEXT(计算!V91*100, "#.00")</f>
        <v>1</v>
      </c>
      <c r="W93" s="65" t="b">
        <f>TEXT(导出!W91,"#.00")=TEXT(计算!W91, "#.00")</f>
        <v>1</v>
      </c>
      <c r="X93" s="65" t="b">
        <f>TEXT(导出!X91,"#.00")=TEXT(计算!X91, "#.00")</f>
        <v>1</v>
      </c>
      <c r="Y93" s="65" t="b">
        <f>TEXT(导出!Y91,"#.00")=TEXT(计算!Y91, "#.00")</f>
        <v>1</v>
      </c>
      <c r="Z93" s="65" t="b">
        <f>TEXT(导出!Z91,"#.00")=TEXT(计算!Z91, "#.00")</f>
        <v>1</v>
      </c>
      <c r="AA93" s="65" t="b">
        <f>TEXT(导出!AA91,"#.00")=TEXT(计算!AA91*100, "#.00")</f>
        <v>1</v>
      </c>
      <c r="AB93" s="65" t="b">
        <f>TEXT(导出!AB91,"#.00")=TEXT(计算!AB91, "#.00")</f>
        <v>1</v>
      </c>
      <c r="AC93" s="65" t="b">
        <f>TEXT(导出!AC91,"#.00")=TEXT(计算!AC91, "#.00")</f>
        <v>1</v>
      </c>
      <c r="AD93" s="65" t="b">
        <f>TEXT(导出!AD91,"#.00")=TEXT(计算!AD91, "#.00")</f>
        <v>1</v>
      </c>
      <c r="AE93" s="65" t="b">
        <f>ABS(导出!AE91-计算!AE91)&lt;10</f>
        <v>1</v>
      </c>
      <c r="AF93" s="65" t="b">
        <f>TEXT(ABS(导出!AF91),"#.00")=TEXT(ABS(计算!AF91), "#.00")</f>
        <v>1</v>
      </c>
      <c r="AG93" s="65" t="b">
        <f>TEXT(导出!AG91,"#.00")=TEXT(计算!AG91, "#.00")</f>
        <v>1</v>
      </c>
      <c r="AH93" s="65" t="b">
        <f>TEXT(导出!AH91,"#.00")=TEXT(计算!AH91, "#.00")</f>
        <v>1</v>
      </c>
      <c r="AI93">
        <v>0</v>
      </c>
      <c r="AJ93" s="3">
        <v>41912.686273148101</v>
      </c>
      <c r="AK93" s="2" t="s">
        <v>2056</v>
      </c>
    </row>
    <row r="94" spans="1:37" x14ac:dyDescent="0.15">
      <c r="A94" s="2" t="s">
        <v>2055</v>
      </c>
      <c r="B94">
        <v>120</v>
      </c>
      <c r="C94" s="3">
        <v>41395</v>
      </c>
      <c r="D94" s="2" t="s">
        <v>37</v>
      </c>
      <c r="E94" s="2" t="s">
        <v>2054</v>
      </c>
      <c r="F94" s="2" t="s">
        <v>41</v>
      </c>
      <c r="G94" s="2" t="s">
        <v>216</v>
      </c>
      <c r="H94" s="2" t="s">
        <v>217</v>
      </c>
      <c r="I94" s="65" t="b">
        <f>导出!I92=计算!I92</f>
        <v>1</v>
      </c>
      <c r="J94" s="65" t="b">
        <f>导出!J92=计算!J92</f>
        <v>1</v>
      </c>
      <c r="K94" s="65" t="b">
        <f>导出!K92=计算!K92</f>
        <v>1</v>
      </c>
      <c r="L94" s="65" t="b">
        <f>导出!L92=计算!L92</f>
        <v>1</v>
      </c>
      <c r="M94" s="65" t="b">
        <f>导出!M92=计算!M92</f>
        <v>1</v>
      </c>
      <c r="N94" s="65" t="b">
        <f>TEXT(导出!N92,"#.00")=TEXT(计算!N92, "#.00")</f>
        <v>1</v>
      </c>
      <c r="O94" s="65" t="b">
        <f>TEXT(导出!O92,"#.00")=TEXT(计算!O92, "#.00")</f>
        <v>1</v>
      </c>
      <c r="P94" s="65" t="b">
        <f>TEXT(导出!P92,"#.00")=TEXT(计算!P92, "#.00")</f>
        <v>1</v>
      </c>
      <c r="Q94" s="65" t="b">
        <f>TEXT(导出!Q92,"#.00")=TEXT(计算!Q92, "#.00")</f>
        <v>1</v>
      </c>
      <c r="R94" s="65" t="b">
        <f>TEXT(导出!R92,"#.00")=TEXT(计算!R92, "#.00")</f>
        <v>1</v>
      </c>
      <c r="S94" s="65" t="b">
        <f>TEXT(导出!S92,"#.00")=TEXT(计算!S92, "#.00")</f>
        <v>1</v>
      </c>
      <c r="T94" s="65" t="b">
        <f>TEXT(导出!T92,"#.00")=TEXT(计算!T92, "#.00")</f>
        <v>1</v>
      </c>
      <c r="U94" s="65" t="b">
        <f>TEXT(导出!U92,"#.00")=TEXT(计算!U92, "#.00")</f>
        <v>1</v>
      </c>
      <c r="V94" s="65" t="b">
        <f>TEXT(导出!V92,"#.00")=TEXT(计算!V92*100, "#.00")</f>
        <v>1</v>
      </c>
      <c r="W94" s="65" t="b">
        <f>TEXT(导出!W92,"#.00")=TEXT(计算!W92, "#.00")</f>
        <v>1</v>
      </c>
      <c r="X94" s="65" t="b">
        <f>TEXT(导出!X92,"#.00")=TEXT(计算!X92, "#.00")</f>
        <v>1</v>
      </c>
      <c r="Y94" s="65" t="b">
        <f>TEXT(导出!Y92,"#.00")=TEXT(计算!Y92, "#.00")</f>
        <v>1</v>
      </c>
      <c r="Z94" s="65" t="b">
        <f>TEXT(导出!Z92,"#.00")=TEXT(计算!Z92, "#.00")</f>
        <v>1</v>
      </c>
      <c r="AA94" s="65" t="b">
        <f>TEXT(导出!AA92,"#.00")=TEXT(计算!AA92*100, "#.00")</f>
        <v>1</v>
      </c>
      <c r="AB94" s="65" t="b">
        <f>TEXT(导出!AB92,"#.00")=TEXT(计算!AB92, "#.00")</f>
        <v>1</v>
      </c>
      <c r="AC94" s="65" t="b">
        <f>TEXT(导出!AC92,"#.00")=TEXT(计算!AC92, "#.00")</f>
        <v>1</v>
      </c>
      <c r="AD94" s="65" t="b">
        <f>TEXT(导出!AD92,"#.00")=TEXT(计算!AD92, "#.00")</f>
        <v>1</v>
      </c>
      <c r="AE94" s="65" t="b">
        <f>ABS(导出!AE92-计算!AE92)&lt;10</f>
        <v>1</v>
      </c>
      <c r="AF94" s="65" t="b">
        <f>TEXT(ABS(导出!AF92),"#.00")=TEXT(ABS(计算!AF92), "#.00")</f>
        <v>1</v>
      </c>
      <c r="AG94" s="65" t="b">
        <f>TEXT(导出!AG92,"#.00")=TEXT(计算!AG92, "#.00")</f>
        <v>1</v>
      </c>
      <c r="AH94" s="65" t="b">
        <f>TEXT(导出!AH92,"#.00")=TEXT(计算!AH92, "#.00")</f>
        <v>1</v>
      </c>
      <c r="AI94">
        <v>0</v>
      </c>
      <c r="AJ94" s="3">
        <v>41912.6862384259</v>
      </c>
      <c r="AK94" s="2" t="s">
        <v>2053</v>
      </c>
    </row>
    <row r="95" spans="1:37" x14ac:dyDescent="0.15">
      <c r="A95" s="2" t="s">
        <v>2052</v>
      </c>
      <c r="B95">
        <v>787</v>
      </c>
      <c r="C95" s="3">
        <v>41396</v>
      </c>
      <c r="D95" s="2" t="s">
        <v>37</v>
      </c>
      <c r="E95" s="2" t="s">
        <v>2051</v>
      </c>
      <c r="F95" s="2" t="s">
        <v>38</v>
      </c>
      <c r="G95" s="2" t="s">
        <v>225</v>
      </c>
      <c r="H95" s="2" t="s">
        <v>226</v>
      </c>
      <c r="I95" s="65" t="b">
        <f>导出!I93=计算!I93</f>
        <v>1</v>
      </c>
      <c r="J95" s="65" t="b">
        <f>导出!J93=计算!J93</f>
        <v>1</v>
      </c>
      <c r="K95" s="65" t="b">
        <f>导出!K93=计算!K93</f>
        <v>1</v>
      </c>
      <c r="L95" s="65" t="b">
        <f>导出!L93=计算!L93</f>
        <v>1</v>
      </c>
      <c r="M95" s="65" t="b">
        <f>导出!M93=计算!M93</f>
        <v>1</v>
      </c>
      <c r="N95" s="65" t="b">
        <f>TEXT(导出!N93,"#.00")=TEXT(计算!N93, "#.00")</f>
        <v>1</v>
      </c>
      <c r="O95" s="65" t="b">
        <f>TEXT(导出!O93,"#.00")=TEXT(计算!O93, "#.00")</f>
        <v>1</v>
      </c>
      <c r="P95" s="65" t="b">
        <f>TEXT(导出!P93,"#.00")=TEXT(计算!P93, "#.00")</f>
        <v>1</v>
      </c>
      <c r="Q95" s="65" t="b">
        <f>TEXT(导出!Q93,"#.00")=TEXT(计算!Q93, "#.00")</f>
        <v>0</v>
      </c>
      <c r="R95" s="65" t="b">
        <f>TEXT(导出!R93,"#.00")=TEXT(计算!R93, "#.00")</f>
        <v>1</v>
      </c>
      <c r="S95" s="65" t="b">
        <f>TEXT(导出!S93,"#.00")=TEXT(计算!S93, "#.00")</f>
        <v>1</v>
      </c>
      <c r="T95" s="65" t="b">
        <f>TEXT(导出!T93,"#.00")=TEXT(计算!T93, "#.00")</f>
        <v>1</v>
      </c>
      <c r="U95" s="65" t="b">
        <f>TEXT(导出!U93,"#.00")=TEXT(计算!U93, "#.00")</f>
        <v>1</v>
      </c>
      <c r="V95" s="65" t="b">
        <f>TEXT(导出!V93,"#.00")=TEXT(计算!V93*100, "#.00")</f>
        <v>1</v>
      </c>
      <c r="W95" s="65" t="b">
        <f>TEXT(导出!W93,"#.00")=TEXT(计算!W93, "#.00")</f>
        <v>1</v>
      </c>
      <c r="X95" s="65" t="b">
        <f>TEXT(导出!X93,"#.00")=TEXT(计算!X93, "#.00")</f>
        <v>1</v>
      </c>
      <c r="Y95" s="65" t="b">
        <f>TEXT(导出!Y93,"#.00")=TEXT(计算!Y93, "#.00")</f>
        <v>1</v>
      </c>
      <c r="Z95" s="65" t="b">
        <f>TEXT(导出!Z93,"#.00")=TEXT(计算!Z93, "#.00")</f>
        <v>1</v>
      </c>
      <c r="AA95" s="65" t="b">
        <f>TEXT(导出!AA93,"#.00")=TEXT(计算!AA93*100, "#.00")</f>
        <v>1</v>
      </c>
      <c r="AB95" s="65" t="b">
        <f>TEXT(导出!AB93,"#.00")=TEXT(计算!AB93, "#.00")</f>
        <v>1</v>
      </c>
      <c r="AC95" s="65" t="b">
        <f>TEXT(导出!AC93,"#.00")=TEXT(计算!AC93, "#.00")</f>
        <v>1</v>
      </c>
      <c r="AD95" s="65" t="b">
        <f>TEXT(导出!AD93,"#.00")=TEXT(计算!AD93, "#.00")</f>
        <v>1</v>
      </c>
      <c r="AE95" s="65" t="b">
        <f>ABS(导出!AE93-计算!AE93)&lt;10</f>
        <v>1</v>
      </c>
      <c r="AF95" s="65" t="b">
        <f>TEXT(ABS(导出!AF93),"#.00")=TEXT(ABS(计算!AF93), "#.00")</f>
        <v>1</v>
      </c>
      <c r="AG95" s="65" t="b">
        <f>TEXT(导出!AG93,"#.00")=TEXT(计算!AG93, "#.00")</f>
        <v>1</v>
      </c>
      <c r="AH95" s="65" t="b">
        <f>TEXT(导出!AH93,"#.00")=TEXT(计算!AH93, "#.00")</f>
        <v>1</v>
      </c>
      <c r="AI95">
        <v>0</v>
      </c>
      <c r="AJ95" s="3">
        <v>41912.686273148101</v>
      </c>
      <c r="AK95" s="2" t="s">
        <v>2050</v>
      </c>
    </row>
    <row r="96" spans="1:37" x14ac:dyDescent="0.15">
      <c r="A96" s="2" t="s">
        <v>2049</v>
      </c>
      <c r="B96">
        <v>810</v>
      </c>
      <c r="C96" s="3">
        <v>41412</v>
      </c>
      <c r="D96" s="2" t="s">
        <v>37</v>
      </c>
      <c r="E96" s="2" t="s">
        <v>2048</v>
      </c>
      <c r="F96" s="2" t="s">
        <v>38</v>
      </c>
      <c r="G96" s="2" t="s">
        <v>227</v>
      </c>
      <c r="H96" s="2" t="s">
        <v>228</v>
      </c>
      <c r="I96" s="65" t="b">
        <f>导出!I94=计算!I94</f>
        <v>1</v>
      </c>
      <c r="J96" s="65" t="b">
        <f>导出!J94=计算!J94</f>
        <v>1</v>
      </c>
      <c r="K96" s="65" t="b">
        <f>导出!K94=计算!K94</f>
        <v>1</v>
      </c>
      <c r="L96" s="65" t="b">
        <f>导出!L94=计算!L94</f>
        <v>1</v>
      </c>
      <c r="M96" s="65" t="b">
        <f>导出!M94=计算!M94</f>
        <v>1</v>
      </c>
      <c r="N96" s="65" t="b">
        <f>TEXT(导出!N94,"#.00")=TEXT(计算!N94, "#.00")</f>
        <v>1</v>
      </c>
      <c r="O96" s="65" t="b">
        <f>TEXT(导出!O94,"#.00")=TEXT(计算!O94, "#.00")</f>
        <v>1</v>
      </c>
      <c r="P96" s="65" t="b">
        <f>TEXT(导出!P94,"#.00")=TEXT(计算!P94, "#.00")</f>
        <v>1</v>
      </c>
      <c r="Q96" s="65" t="b">
        <f>TEXT(导出!Q94,"#.00")=TEXT(计算!Q94, "#.00")</f>
        <v>0</v>
      </c>
      <c r="R96" s="65" t="b">
        <f>TEXT(导出!R94,"#.00")=TEXT(计算!R94, "#.00")</f>
        <v>1</v>
      </c>
      <c r="S96" s="65" t="b">
        <f>TEXT(导出!S94,"#.00")=TEXT(计算!S94, "#.00")</f>
        <v>1</v>
      </c>
      <c r="T96" s="65" t="b">
        <f>TEXT(导出!T94,"#.00")=TEXT(计算!T94, "#.00")</f>
        <v>1</v>
      </c>
      <c r="U96" s="65" t="b">
        <f>TEXT(导出!U94,"#.00")=TEXT(计算!U94, "#.00")</f>
        <v>1</v>
      </c>
      <c r="V96" s="65" t="b">
        <f>TEXT(导出!V94,"#.00")=TEXT(计算!V94*100, "#.00")</f>
        <v>1</v>
      </c>
      <c r="W96" s="65" t="b">
        <f>TEXT(导出!W94,"#.00")=TEXT(计算!W94, "#.00")</f>
        <v>1</v>
      </c>
      <c r="X96" s="65" t="b">
        <f>TEXT(导出!X94,"#.00")=TEXT(计算!X94, "#.00")</f>
        <v>1</v>
      </c>
      <c r="Y96" s="65" t="b">
        <f>TEXT(导出!Y94,"#.00")=TEXT(计算!Y94, "#.00")</f>
        <v>1</v>
      </c>
      <c r="Z96" s="65" t="b">
        <f>TEXT(导出!Z94,"#.00")=TEXT(计算!Z94, "#.00")</f>
        <v>1</v>
      </c>
      <c r="AA96" s="65" t="b">
        <f>TEXT(导出!AA94,"#.00")=TEXT(计算!AA94*100, "#.00")</f>
        <v>1</v>
      </c>
      <c r="AB96" s="65" t="b">
        <f>TEXT(导出!AB94,"#.00")=TEXT(计算!AB94, "#.00")</f>
        <v>1</v>
      </c>
      <c r="AC96" s="65" t="b">
        <f>TEXT(导出!AC94,"#.00")=TEXT(计算!AC94, "#.00")</f>
        <v>1</v>
      </c>
      <c r="AD96" s="65" t="b">
        <f>TEXT(导出!AD94,"#.00")=TEXT(计算!AD94, "#.00")</f>
        <v>1</v>
      </c>
      <c r="AE96" s="65" t="b">
        <f>ABS(导出!AE94-计算!AE94)&lt;10</f>
        <v>1</v>
      </c>
      <c r="AF96" s="65" t="b">
        <f>TEXT(ABS(导出!AF94),"#.00")=TEXT(ABS(计算!AF94), "#.00")</f>
        <v>1</v>
      </c>
      <c r="AG96" s="65" t="b">
        <f>TEXT(导出!AG94,"#.00")=TEXT(计算!AG94, "#.00")</f>
        <v>1</v>
      </c>
      <c r="AH96" s="65" t="b">
        <f>TEXT(导出!AH94,"#.00")=TEXT(计算!AH94, "#.00")</f>
        <v>1</v>
      </c>
      <c r="AI96">
        <v>0</v>
      </c>
      <c r="AJ96" s="3">
        <v>41912.686273148101</v>
      </c>
      <c r="AK96" s="2" t="s">
        <v>2047</v>
      </c>
    </row>
    <row r="97" spans="1:37" x14ac:dyDescent="0.15">
      <c r="A97" s="2" t="s">
        <v>2046</v>
      </c>
      <c r="B97">
        <v>818</v>
      </c>
      <c r="C97" s="3">
        <v>41417</v>
      </c>
      <c r="D97" s="2" t="s">
        <v>37</v>
      </c>
      <c r="E97" s="2" t="s">
        <v>2045</v>
      </c>
      <c r="F97" s="2" t="s">
        <v>38</v>
      </c>
      <c r="G97" s="2" t="s">
        <v>229</v>
      </c>
      <c r="H97" s="2" t="s">
        <v>230</v>
      </c>
      <c r="I97" s="65" t="b">
        <f>导出!I95=计算!I95</f>
        <v>1</v>
      </c>
      <c r="J97" s="65" t="b">
        <f>导出!J95=计算!J95</f>
        <v>1</v>
      </c>
      <c r="K97" s="65" t="b">
        <f>导出!K95=计算!K95</f>
        <v>1</v>
      </c>
      <c r="L97" s="65" t="b">
        <f>导出!L95=计算!L95</f>
        <v>1</v>
      </c>
      <c r="M97" s="65" t="b">
        <f>导出!M95=计算!M95</f>
        <v>1</v>
      </c>
      <c r="N97" s="65" t="b">
        <f>TEXT(导出!N95,"#.00")=TEXT(计算!N95, "#.00")</f>
        <v>1</v>
      </c>
      <c r="O97" s="65" t="b">
        <f>TEXT(导出!O95,"#.00")=TEXT(计算!O95, "#.00")</f>
        <v>1</v>
      </c>
      <c r="P97" s="65" t="b">
        <f>TEXT(导出!P95,"#.00")=TEXT(计算!P95, "#.00")</f>
        <v>1</v>
      </c>
      <c r="Q97" s="65" t="b">
        <f>TEXT(导出!Q95,"#.00")=TEXT(计算!Q95, "#.00")</f>
        <v>0</v>
      </c>
      <c r="R97" s="65" t="b">
        <f>TEXT(导出!R95,"#.00")=TEXT(计算!R95, "#.00")</f>
        <v>1</v>
      </c>
      <c r="S97" s="65" t="b">
        <f>TEXT(导出!S95,"#.00")=TEXT(计算!S95, "#.00")</f>
        <v>1</v>
      </c>
      <c r="T97" s="65" t="b">
        <f>TEXT(导出!T95,"#.00")=TEXT(计算!T95, "#.00")</f>
        <v>1</v>
      </c>
      <c r="U97" s="65" t="b">
        <f>TEXT(导出!U95,"#.00")=TEXT(计算!U95, "#.00")</f>
        <v>1</v>
      </c>
      <c r="V97" s="65" t="b">
        <f>TEXT(导出!V95,"#.00")=TEXT(计算!V95*100, "#.00")</f>
        <v>1</v>
      </c>
      <c r="W97" s="65" t="b">
        <f>TEXT(导出!W95,"#.00")=TEXT(计算!W95, "#.00")</f>
        <v>1</v>
      </c>
      <c r="X97" s="65" t="b">
        <f>TEXT(导出!X95,"#.00")=TEXT(计算!X95, "#.00")</f>
        <v>1</v>
      </c>
      <c r="Y97" s="65" t="b">
        <f>TEXT(导出!Y95,"#.00")=TEXT(计算!Y95, "#.00")</f>
        <v>1</v>
      </c>
      <c r="Z97" s="65" t="b">
        <f>TEXT(导出!Z95,"#.00")=TEXT(计算!Z95, "#.00")</f>
        <v>1</v>
      </c>
      <c r="AA97" s="65" t="b">
        <f>TEXT(导出!AA95,"#.00")=TEXT(计算!AA95*100, "#.00")</f>
        <v>1</v>
      </c>
      <c r="AB97" s="65" t="b">
        <f>TEXT(导出!AB95,"#.00")=TEXT(计算!AB95, "#.00")</f>
        <v>1</v>
      </c>
      <c r="AC97" s="65" t="b">
        <f>TEXT(导出!AC95,"#.00")=TEXT(计算!AC95, "#.00")</f>
        <v>1</v>
      </c>
      <c r="AD97" s="65" t="b">
        <f>TEXT(导出!AD95,"#.00")=TEXT(计算!AD95, "#.00")</f>
        <v>1</v>
      </c>
      <c r="AE97" s="65" t="b">
        <f>ABS(导出!AE95-计算!AE95)&lt;10</f>
        <v>1</v>
      </c>
      <c r="AF97" s="65" t="b">
        <f>TEXT(ABS(导出!AF95),"#.00")=TEXT(ABS(计算!AF95), "#.00")</f>
        <v>1</v>
      </c>
      <c r="AG97" s="65" t="b">
        <f>TEXT(导出!AG95,"#.00")=TEXT(计算!AG95, "#.00")</f>
        <v>1</v>
      </c>
      <c r="AH97" s="65" t="b">
        <f>TEXT(导出!AH95,"#.00")=TEXT(计算!AH95, "#.00")</f>
        <v>1</v>
      </c>
      <c r="AI97">
        <v>0</v>
      </c>
      <c r="AJ97" s="3">
        <v>41912.686273148101</v>
      </c>
      <c r="AK97" s="2" t="s">
        <v>2044</v>
      </c>
    </row>
    <row r="98" spans="1:37" x14ac:dyDescent="0.15">
      <c r="A98" s="2" t="s">
        <v>2043</v>
      </c>
      <c r="B98">
        <v>125</v>
      </c>
      <c r="C98" s="3">
        <v>41426</v>
      </c>
      <c r="D98" s="2" t="s">
        <v>37</v>
      </c>
      <c r="E98" s="2" t="s">
        <v>2042</v>
      </c>
      <c r="F98" s="2" t="s">
        <v>41</v>
      </c>
      <c r="G98" s="2" t="s">
        <v>231</v>
      </c>
      <c r="H98" s="2" t="s">
        <v>232</v>
      </c>
      <c r="I98" s="65" t="b">
        <f>导出!I96=计算!I96</f>
        <v>1</v>
      </c>
      <c r="J98" s="65" t="b">
        <f>导出!J96=计算!J96</f>
        <v>1</v>
      </c>
      <c r="K98" s="65" t="b">
        <f>导出!K96=计算!K96</f>
        <v>1</v>
      </c>
      <c r="L98" s="65" t="b">
        <f>导出!L96=计算!L96</f>
        <v>1</v>
      </c>
      <c r="M98" s="65" t="b">
        <f>导出!M96=计算!M96</f>
        <v>1</v>
      </c>
      <c r="N98" s="65" t="b">
        <f>TEXT(导出!N96,"#.00")=TEXT(计算!N96, "#.00")</f>
        <v>1</v>
      </c>
      <c r="O98" s="65" t="b">
        <f>TEXT(导出!O96,"#.00")=TEXT(计算!O96, "#.00")</f>
        <v>1</v>
      </c>
      <c r="P98" s="65" t="b">
        <f>TEXT(导出!P96,"#.00")=TEXT(计算!P96, "#.00")</f>
        <v>1</v>
      </c>
      <c r="Q98" s="65" t="b">
        <f>TEXT(导出!Q96,"#.00")=TEXT(计算!Q96, "#.00")</f>
        <v>1</v>
      </c>
      <c r="R98" s="65" t="b">
        <f>TEXT(导出!R96,"#.00")=TEXT(计算!R96, "#.00")</f>
        <v>1</v>
      </c>
      <c r="S98" s="65" t="b">
        <f>TEXT(导出!S96,"#.00")=TEXT(计算!S96, "#.00")</f>
        <v>1</v>
      </c>
      <c r="T98" s="65" t="b">
        <f>TEXT(导出!T96,"#.00")=TEXT(计算!T96, "#.00")</f>
        <v>1</v>
      </c>
      <c r="U98" s="65" t="b">
        <f>TEXT(导出!U96,"#.00")=TEXT(计算!U96, "#.00")</f>
        <v>1</v>
      </c>
      <c r="V98" s="65" t="b">
        <f>TEXT(导出!V96,"#.00")=TEXT(计算!V96*100, "#.00")</f>
        <v>1</v>
      </c>
      <c r="W98" s="65" t="b">
        <f>TEXT(导出!W96,"#.00")=TEXT(计算!W96, "#.00")</f>
        <v>1</v>
      </c>
      <c r="X98" s="65" t="b">
        <f>TEXT(导出!X96,"#.00")=TEXT(计算!X96, "#.00")</f>
        <v>1</v>
      </c>
      <c r="Y98" s="65" t="b">
        <f>TEXT(导出!Y96,"#.00")=TEXT(计算!Y96, "#.00")</f>
        <v>1</v>
      </c>
      <c r="Z98" s="65" t="b">
        <f>TEXT(导出!Z96,"#.00")=TEXT(计算!Z96, "#.00")</f>
        <v>1</v>
      </c>
      <c r="AA98" s="65" t="b">
        <f>TEXT(导出!AA96,"#.00")=TEXT(计算!AA96*100, "#.00")</f>
        <v>1</v>
      </c>
      <c r="AB98" s="65" t="b">
        <f>TEXT(导出!AB96,"#.00")=TEXT(计算!AB96, "#.00")</f>
        <v>1</v>
      </c>
      <c r="AC98" s="65" t="b">
        <f>TEXT(导出!AC96,"#.00")=TEXT(计算!AC96, "#.00")</f>
        <v>1</v>
      </c>
      <c r="AD98" s="65" t="b">
        <f>TEXT(导出!AD96,"#.00")=TEXT(计算!AD96, "#.00")</f>
        <v>1</v>
      </c>
      <c r="AE98" s="65" t="b">
        <f>ABS(导出!AE96-计算!AE96)&lt;10</f>
        <v>1</v>
      </c>
      <c r="AF98" s="65" t="b">
        <f>TEXT(ABS(导出!AF96),"#.00")=TEXT(ABS(计算!AF96), "#.00")</f>
        <v>1</v>
      </c>
      <c r="AG98" s="65" t="b">
        <f>TEXT(导出!AG96,"#.00")=TEXT(计算!AG96, "#.00")</f>
        <v>1</v>
      </c>
      <c r="AH98" s="65" t="b">
        <f>TEXT(导出!AH96,"#.00")=TEXT(计算!AH96, "#.00")</f>
        <v>1</v>
      </c>
      <c r="AI98">
        <v>0</v>
      </c>
      <c r="AJ98" s="3">
        <v>41912.6862384259</v>
      </c>
      <c r="AK98" s="2" t="s">
        <v>2041</v>
      </c>
    </row>
    <row r="99" spans="1:37" x14ac:dyDescent="0.15">
      <c r="A99" s="2" t="s">
        <v>2040</v>
      </c>
      <c r="B99">
        <v>826</v>
      </c>
      <c r="C99" s="3">
        <v>41438</v>
      </c>
      <c r="D99" s="2" t="s">
        <v>37</v>
      </c>
      <c r="E99" s="2" t="s">
        <v>2039</v>
      </c>
      <c r="F99" s="2" t="s">
        <v>38</v>
      </c>
      <c r="G99" s="2" t="s">
        <v>233</v>
      </c>
      <c r="H99" s="2" t="s">
        <v>234</v>
      </c>
      <c r="I99" s="65" t="b">
        <f>导出!I97=计算!I97</f>
        <v>1</v>
      </c>
      <c r="J99" s="65" t="b">
        <f>导出!J97=计算!J97</f>
        <v>1</v>
      </c>
      <c r="K99" s="65" t="b">
        <f>导出!K97=计算!K97</f>
        <v>1</v>
      </c>
      <c r="L99" s="65" t="b">
        <f>导出!L97=计算!L97</f>
        <v>1</v>
      </c>
      <c r="M99" s="65" t="b">
        <f>导出!M97=计算!M97</f>
        <v>1</v>
      </c>
      <c r="N99" s="65" t="b">
        <f>TEXT(导出!N97,"#.00")=TEXT(计算!N97, "#.00")</f>
        <v>0</v>
      </c>
      <c r="O99" s="65" t="b">
        <f>TEXT(导出!O97,"#.00")=TEXT(计算!O97, "#.00")</f>
        <v>1</v>
      </c>
      <c r="P99" s="65" t="b">
        <f>TEXT(导出!P97,"#.00")=TEXT(计算!P97, "#.00")</f>
        <v>1</v>
      </c>
      <c r="Q99" s="65" t="b">
        <f>TEXT(导出!Q97,"#.00")=TEXT(计算!Q97, "#.00")</f>
        <v>0</v>
      </c>
      <c r="R99" s="65" t="b">
        <f>TEXT(导出!R97,"#.00")=TEXT(计算!R97, "#.00")</f>
        <v>1</v>
      </c>
      <c r="S99" s="65" t="b">
        <f>TEXT(导出!S97,"#.00")=TEXT(计算!S97, "#.00")</f>
        <v>1</v>
      </c>
      <c r="T99" s="65" t="b">
        <f>TEXT(导出!T97,"#.00")=TEXT(计算!T97, "#.00")</f>
        <v>1</v>
      </c>
      <c r="U99" s="65" t="b">
        <f>TEXT(导出!U97,"#.00")=TEXT(计算!U97, "#.00")</f>
        <v>1</v>
      </c>
      <c r="V99" s="65" t="b">
        <f>TEXT(导出!V97,"#.00")=TEXT(计算!V97*100, "#.00")</f>
        <v>1</v>
      </c>
      <c r="W99" s="65" t="b">
        <f>TEXT(导出!W97,"#.00")=TEXT(计算!W97, "#.00")</f>
        <v>1</v>
      </c>
      <c r="X99" s="65" t="b">
        <f>TEXT(导出!X97,"#.00")=TEXT(计算!X97, "#.00")</f>
        <v>1</v>
      </c>
      <c r="Y99" s="65" t="b">
        <f>TEXT(导出!Y97,"#.00")=TEXT(计算!Y97, "#.00")</f>
        <v>1</v>
      </c>
      <c r="Z99" s="65" t="b">
        <f>TEXT(导出!Z97,"#.00")=TEXT(计算!Z97, "#.00")</f>
        <v>1</v>
      </c>
      <c r="AA99" s="65" t="b">
        <f>TEXT(导出!AA97,"#.00")=TEXT(计算!AA97*100, "#.00")</f>
        <v>1</v>
      </c>
      <c r="AB99" s="65" t="b">
        <f>TEXT(导出!AB97,"#.00")=TEXT(计算!AB97, "#.00")</f>
        <v>1</v>
      </c>
      <c r="AC99" s="65" t="b">
        <f>TEXT(导出!AC97,"#.00")=TEXT(计算!AC97, "#.00")</f>
        <v>1</v>
      </c>
      <c r="AD99" s="65" t="b">
        <f>TEXT(导出!AD97,"#.00")=TEXT(计算!AD97, "#.00")</f>
        <v>1</v>
      </c>
      <c r="AE99" s="65" t="b">
        <f>ABS(导出!AE97-计算!AE97)&lt;10</f>
        <v>1</v>
      </c>
      <c r="AF99" s="65" t="b">
        <f>TEXT(ABS(导出!AF97),"#.00")=TEXT(ABS(计算!AF97), "#.00")</f>
        <v>1</v>
      </c>
      <c r="AG99" s="65" t="b">
        <f>TEXT(导出!AG97,"#.00")=TEXT(计算!AG97, "#.00")</f>
        <v>1</v>
      </c>
      <c r="AH99" s="65" t="b">
        <f>TEXT(导出!AH97,"#.00")=TEXT(计算!AH97, "#.00")</f>
        <v>1</v>
      </c>
      <c r="AI99">
        <v>0</v>
      </c>
      <c r="AJ99" s="3">
        <v>41912.686273148101</v>
      </c>
      <c r="AK99" s="2" t="s">
        <v>2038</v>
      </c>
    </row>
    <row r="100" spans="1:37" x14ac:dyDescent="0.15">
      <c r="A100" s="2" t="s">
        <v>2037</v>
      </c>
      <c r="B100">
        <v>829</v>
      </c>
      <c r="C100" s="3">
        <v>41439</v>
      </c>
      <c r="D100" s="2" t="s">
        <v>37</v>
      </c>
      <c r="E100" s="2" t="s">
        <v>2036</v>
      </c>
      <c r="F100" s="2" t="s">
        <v>38</v>
      </c>
      <c r="G100" s="2" t="s">
        <v>235</v>
      </c>
      <c r="H100" s="2" t="s">
        <v>236</v>
      </c>
      <c r="I100" s="65" t="b">
        <f>导出!I98=计算!I98</f>
        <v>1</v>
      </c>
      <c r="J100" s="65" t="b">
        <f>导出!J98=计算!J98</f>
        <v>1</v>
      </c>
      <c r="K100" s="65" t="b">
        <f>导出!K98=计算!K98</f>
        <v>1</v>
      </c>
      <c r="L100" s="65" t="b">
        <f>导出!L98=计算!L98</f>
        <v>1</v>
      </c>
      <c r="M100" s="65" t="b">
        <f>导出!M98=计算!M98</f>
        <v>1</v>
      </c>
      <c r="N100" s="65" t="b">
        <f>TEXT(导出!N98,"#.00")=TEXT(计算!N98, "#.00")</f>
        <v>1</v>
      </c>
      <c r="O100" s="65" t="b">
        <f>TEXT(导出!O98,"#.00")=TEXT(计算!O98, "#.00")</f>
        <v>1</v>
      </c>
      <c r="P100" s="65" t="b">
        <f>TEXT(导出!P98,"#.00")=TEXT(计算!P98, "#.00")</f>
        <v>1</v>
      </c>
      <c r="Q100" s="65" t="b">
        <f>TEXT(导出!Q98,"#.00")=TEXT(计算!Q98, "#.00")</f>
        <v>0</v>
      </c>
      <c r="R100" s="65" t="b">
        <f>TEXT(导出!R98,"#.00")=TEXT(计算!R98, "#.00")</f>
        <v>1</v>
      </c>
      <c r="S100" s="65" t="b">
        <f>TEXT(导出!S98,"#.00")=TEXT(计算!S98, "#.00")</f>
        <v>1</v>
      </c>
      <c r="T100" s="65" t="b">
        <f>TEXT(导出!T98,"#.00")=TEXT(计算!T98, "#.00")</f>
        <v>1</v>
      </c>
      <c r="U100" s="65" t="b">
        <f>TEXT(导出!U98,"#.00")=TEXT(计算!U98, "#.00")</f>
        <v>1</v>
      </c>
      <c r="V100" s="65" t="b">
        <f>TEXT(导出!V98,"#.00")=TEXT(计算!V98*100, "#.00")</f>
        <v>1</v>
      </c>
      <c r="W100" s="65" t="b">
        <f>TEXT(导出!W98,"#.00")=TEXT(计算!W98, "#.00")</f>
        <v>1</v>
      </c>
      <c r="X100" s="65" t="b">
        <f>TEXT(导出!X98,"#.00")=TEXT(计算!X98, "#.00")</f>
        <v>1</v>
      </c>
      <c r="Y100" s="65" t="b">
        <f>TEXT(导出!Y98,"#.00")=TEXT(计算!Y98, "#.00")</f>
        <v>1</v>
      </c>
      <c r="Z100" s="65" t="b">
        <f>TEXT(导出!Z98,"#.00")=TEXT(计算!Z98, "#.00")</f>
        <v>1</v>
      </c>
      <c r="AA100" s="65" t="b">
        <f>TEXT(导出!AA98,"#.00")=TEXT(计算!AA98*100, "#.00")</f>
        <v>1</v>
      </c>
      <c r="AB100" s="65" t="b">
        <f>TEXT(导出!AB98,"#.00")=TEXT(计算!AB98, "#.00")</f>
        <v>1</v>
      </c>
      <c r="AC100" s="65" t="b">
        <f>TEXT(导出!AC98,"#.00")=TEXT(计算!AC98, "#.00")</f>
        <v>1</v>
      </c>
      <c r="AD100" s="65" t="b">
        <f>TEXT(导出!AD98,"#.00")=TEXT(计算!AD98, "#.00")</f>
        <v>1</v>
      </c>
      <c r="AE100" s="65" t="b">
        <f>ABS(导出!AE98-计算!AE98)&lt;10</f>
        <v>1</v>
      </c>
      <c r="AF100" s="65" t="b">
        <f>TEXT(ABS(导出!AF98),"#.00")=TEXT(ABS(计算!AF98), "#.00")</f>
        <v>1</v>
      </c>
      <c r="AG100" s="65" t="b">
        <f>TEXT(导出!AG98,"#.00")=TEXT(计算!AG98, "#.00")</f>
        <v>1</v>
      </c>
      <c r="AH100" s="65" t="b">
        <f>TEXT(导出!AH98,"#.00")=TEXT(计算!AH98, "#.00")</f>
        <v>1</v>
      </c>
      <c r="AI100">
        <v>0</v>
      </c>
      <c r="AJ100" s="3">
        <v>41912.686273148101</v>
      </c>
      <c r="AK100" s="2" t="s">
        <v>2035</v>
      </c>
    </row>
    <row r="101" spans="1:37" x14ac:dyDescent="0.15">
      <c r="A101" s="2" t="s">
        <v>2034</v>
      </c>
      <c r="B101">
        <v>838</v>
      </c>
      <c r="C101" s="3">
        <v>41443</v>
      </c>
      <c r="D101" s="2" t="s">
        <v>37</v>
      </c>
      <c r="E101" s="2" t="s">
        <v>2033</v>
      </c>
      <c r="F101" s="2" t="s">
        <v>38</v>
      </c>
      <c r="G101" s="2" t="s">
        <v>237</v>
      </c>
      <c r="H101" s="2" t="s">
        <v>238</v>
      </c>
      <c r="I101" s="65" t="b">
        <f>导出!I99=计算!I99</f>
        <v>1</v>
      </c>
      <c r="J101" s="65" t="b">
        <f>导出!J99=计算!J99</f>
        <v>1</v>
      </c>
      <c r="K101" s="65" t="b">
        <f>导出!K99=计算!K99</f>
        <v>1</v>
      </c>
      <c r="L101" s="65" t="b">
        <f>导出!L99=计算!L99</f>
        <v>1</v>
      </c>
      <c r="M101" s="65" t="b">
        <f>导出!M99=计算!M99</f>
        <v>1</v>
      </c>
      <c r="N101" s="65" t="b">
        <f>TEXT(导出!N99,"#.00")=TEXT(计算!N99, "#.00")</f>
        <v>1</v>
      </c>
      <c r="O101" s="65" t="b">
        <f>TEXT(导出!O99,"#.00")=TEXT(计算!O99, "#.00")</f>
        <v>1</v>
      </c>
      <c r="P101" s="65" t="b">
        <f>TEXT(导出!P99,"#.00")=TEXT(计算!P99, "#.00")</f>
        <v>0</v>
      </c>
      <c r="Q101" s="65" t="b">
        <f>TEXT(导出!Q99,"#.00")=TEXT(计算!Q99, "#.00")</f>
        <v>0</v>
      </c>
      <c r="R101" s="65" t="b">
        <f>TEXT(导出!R99,"#.00")=TEXT(计算!R99, "#.00")</f>
        <v>1</v>
      </c>
      <c r="S101" s="65" t="b">
        <f>TEXT(导出!S99,"#.00")=TEXT(计算!S99, "#.00")</f>
        <v>1</v>
      </c>
      <c r="T101" s="65" t="b">
        <f>TEXT(导出!T99,"#.00")=TEXT(计算!T99, "#.00")</f>
        <v>1</v>
      </c>
      <c r="U101" s="65" t="b">
        <f>TEXT(导出!U99,"#.00")=TEXT(计算!U99, "#.00")</f>
        <v>1</v>
      </c>
      <c r="V101" s="65" t="b">
        <f>TEXT(导出!V99,"#.00")=TEXT(计算!V99*100, "#.00")</f>
        <v>1</v>
      </c>
      <c r="W101" s="65" t="b">
        <f>TEXT(导出!W99,"#.00")=TEXT(计算!W99, "#.00")</f>
        <v>1</v>
      </c>
      <c r="X101" s="65" t="b">
        <f>TEXT(导出!X99,"#.00")=TEXT(计算!X99, "#.00")</f>
        <v>1</v>
      </c>
      <c r="Y101" s="65" t="b">
        <f>TEXT(导出!Y99,"#.00")=TEXT(计算!Y99, "#.00")</f>
        <v>1</v>
      </c>
      <c r="Z101" s="65" t="b">
        <f>TEXT(导出!Z99,"#.00")=TEXT(计算!Z99, "#.00")</f>
        <v>1</v>
      </c>
      <c r="AA101" s="65" t="b">
        <f>TEXT(导出!AA99,"#.00")=TEXT(计算!AA99*100, "#.00")</f>
        <v>1</v>
      </c>
      <c r="AB101" s="65" t="b">
        <f>TEXT(导出!AB99,"#.00")=TEXT(计算!AB99, "#.00")</f>
        <v>1</v>
      </c>
      <c r="AC101" s="65" t="b">
        <f>TEXT(导出!AC99,"#.00")=TEXT(计算!AC99, "#.00")</f>
        <v>1</v>
      </c>
      <c r="AD101" s="65" t="b">
        <f>TEXT(导出!AD99,"#.00")=TEXT(计算!AD99, "#.00")</f>
        <v>1</v>
      </c>
      <c r="AE101" s="65" t="b">
        <f>ABS(导出!AE99-计算!AE99)&lt;10</f>
        <v>1</v>
      </c>
      <c r="AF101" s="65" t="b">
        <f>TEXT(ABS(导出!AF99),"#.00")=TEXT(ABS(计算!AF99), "#.00")</f>
        <v>1</v>
      </c>
      <c r="AG101" s="65" t="b">
        <f>TEXT(导出!AG99,"#.00")=TEXT(计算!AG99, "#.00")</f>
        <v>1</v>
      </c>
      <c r="AH101" s="65" t="b">
        <f>TEXT(导出!AH99,"#.00")=TEXT(计算!AH99, "#.00")</f>
        <v>1</v>
      </c>
      <c r="AI101">
        <v>0</v>
      </c>
      <c r="AJ101" s="3">
        <v>41912.686273148101</v>
      </c>
      <c r="AK101" s="2" t="s">
        <v>2032</v>
      </c>
    </row>
    <row r="102" spans="1:37" x14ac:dyDescent="0.15">
      <c r="A102" s="2" t="s">
        <v>2031</v>
      </c>
      <c r="B102">
        <v>130</v>
      </c>
      <c r="C102" s="3">
        <v>41456</v>
      </c>
      <c r="D102" s="2" t="s">
        <v>37</v>
      </c>
      <c r="E102" s="2" t="s">
        <v>2030</v>
      </c>
      <c r="F102" s="2" t="s">
        <v>41</v>
      </c>
      <c r="G102" s="2" t="s">
        <v>241</v>
      </c>
      <c r="H102" s="2" t="s">
        <v>242</v>
      </c>
      <c r="I102" s="65" t="b">
        <f>导出!I100=计算!I100</f>
        <v>1</v>
      </c>
      <c r="J102" s="65" t="b">
        <f>导出!J100=计算!J100</f>
        <v>1</v>
      </c>
      <c r="K102" s="65" t="b">
        <f>导出!K100=计算!K100</f>
        <v>1</v>
      </c>
      <c r="L102" s="65" t="b">
        <f>导出!L100=计算!L100</f>
        <v>1</v>
      </c>
      <c r="M102" s="65" t="b">
        <f>导出!M100=计算!M100</f>
        <v>1</v>
      </c>
      <c r="N102" s="65" t="b">
        <f>TEXT(导出!N100,"#.00")=TEXT(计算!N100, "#.00")</f>
        <v>1</v>
      </c>
      <c r="O102" s="65" t="b">
        <f>TEXT(导出!O100,"#.00")=TEXT(计算!O100, "#.00")</f>
        <v>1</v>
      </c>
      <c r="P102" s="65" t="b">
        <f>TEXT(导出!P100,"#.00")=TEXT(计算!P100, "#.00")</f>
        <v>1</v>
      </c>
      <c r="Q102" s="65" t="b">
        <f>TEXT(导出!Q100,"#.00")=TEXT(计算!Q100, "#.00")</f>
        <v>1</v>
      </c>
      <c r="R102" s="65" t="b">
        <f>TEXT(导出!R100,"#.00")=TEXT(计算!R100, "#.00")</f>
        <v>1</v>
      </c>
      <c r="S102" s="65" t="b">
        <f>TEXT(导出!S100,"#.00")=TEXT(计算!S100, "#.00")</f>
        <v>1</v>
      </c>
      <c r="T102" s="65" t="b">
        <f>TEXT(导出!T100,"#.00")=TEXT(计算!T100, "#.00")</f>
        <v>1</v>
      </c>
      <c r="U102" s="65" t="b">
        <f>TEXT(导出!U100,"#.00")=TEXT(计算!U100, "#.00")</f>
        <v>1</v>
      </c>
      <c r="V102" s="65" t="b">
        <f>TEXT(导出!V100,"#.00")=TEXT(计算!V100*100, "#.00")</f>
        <v>1</v>
      </c>
      <c r="W102" s="65" t="b">
        <f>TEXT(导出!W100,"#.00")=TEXT(计算!W100, "#.00")</f>
        <v>1</v>
      </c>
      <c r="X102" s="65" t="b">
        <f>TEXT(导出!X100,"#.00")=TEXT(计算!X100, "#.00")</f>
        <v>1</v>
      </c>
      <c r="Y102" s="65" t="b">
        <f>TEXT(导出!Y100,"#.00")=TEXT(计算!Y100, "#.00")</f>
        <v>1</v>
      </c>
      <c r="Z102" s="65" t="b">
        <f>TEXT(导出!Z100,"#.00")=TEXT(计算!Z100, "#.00")</f>
        <v>1</v>
      </c>
      <c r="AA102" s="65" t="b">
        <f>TEXT(导出!AA100,"#.00")=TEXT(计算!AA100*100, "#.00")</f>
        <v>1</v>
      </c>
      <c r="AB102" s="65" t="b">
        <f>TEXT(导出!AB100,"#.00")=TEXT(计算!AB100, "#.00")</f>
        <v>1</v>
      </c>
      <c r="AC102" s="65" t="b">
        <f>TEXT(导出!AC100,"#.00")=TEXT(计算!AC100, "#.00")</f>
        <v>1</v>
      </c>
      <c r="AD102" s="65" t="b">
        <f>TEXT(导出!AD100,"#.00")=TEXT(计算!AD100, "#.00")</f>
        <v>1</v>
      </c>
      <c r="AE102" s="65" t="b">
        <f>ABS(导出!AE100-计算!AE100)&lt;10</f>
        <v>1</v>
      </c>
      <c r="AF102" s="65" t="b">
        <f>TEXT(ABS(导出!AF100),"#.00")=TEXT(ABS(计算!AF100), "#.00")</f>
        <v>1</v>
      </c>
      <c r="AG102" s="65" t="b">
        <f>TEXT(导出!AG100,"#.00")=TEXT(计算!AG100, "#.00")</f>
        <v>1</v>
      </c>
      <c r="AH102" s="65" t="b">
        <f>TEXT(导出!AH100,"#.00")=TEXT(计算!AH100, "#.00")</f>
        <v>1</v>
      </c>
      <c r="AI102">
        <v>0</v>
      </c>
      <c r="AJ102" s="3">
        <v>41912.6862384259</v>
      </c>
      <c r="AK102" s="2" t="s">
        <v>2029</v>
      </c>
    </row>
    <row r="103" spans="1:37" x14ac:dyDescent="0.15">
      <c r="A103" s="2" t="s">
        <v>2028</v>
      </c>
      <c r="B103">
        <v>845</v>
      </c>
      <c r="C103" s="3">
        <v>41456</v>
      </c>
      <c r="D103" s="2" t="s">
        <v>37</v>
      </c>
      <c r="E103" s="2" t="s">
        <v>2027</v>
      </c>
      <c r="F103" s="2" t="s">
        <v>38</v>
      </c>
      <c r="G103" s="2" t="s">
        <v>239</v>
      </c>
      <c r="H103" s="2" t="s">
        <v>240</v>
      </c>
      <c r="I103" s="65" t="b">
        <f>导出!I101=计算!I101</f>
        <v>1</v>
      </c>
      <c r="J103" s="65" t="b">
        <f>导出!J101=计算!J101</f>
        <v>1</v>
      </c>
      <c r="K103" s="65" t="b">
        <f>导出!K101=计算!K101</f>
        <v>1</v>
      </c>
      <c r="L103" s="65" t="b">
        <f>导出!L101=计算!L101</f>
        <v>1</v>
      </c>
      <c r="M103" s="65" t="b">
        <f>导出!M101=计算!M101</f>
        <v>1</v>
      </c>
      <c r="N103" s="65" t="b">
        <f>TEXT(导出!N101,"#.00")=TEXT(计算!N101, "#.00")</f>
        <v>1</v>
      </c>
      <c r="O103" s="65" t="b">
        <f>TEXT(导出!O101,"#.00")=TEXT(计算!O101, "#.00")</f>
        <v>1</v>
      </c>
      <c r="P103" s="65" t="b">
        <f>TEXT(导出!P101,"#.00")=TEXT(计算!P101, "#.00")</f>
        <v>1</v>
      </c>
      <c r="Q103" s="65" t="b">
        <f>TEXT(导出!Q101,"#.00")=TEXT(计算!Q101, "#.00")</f>
        <v>1</v>
      </c>
      <c r="R103" s="65" t="b">
        <f>TEXT(导出!R101,"#.00")=TEXT(计算!R101, "#.00")</f>
        <v>1</v>
      </c>
      <c r="S103" s="65" t="b">
        <f>TEXT(导出!S101,"#.00")=TEXT(计算!S101, "#.00")</f>
        <v>1</v>
      </c>
      <c r="T103" s="65" t="b">
        <f>TEXT(导出!T101,"#.00")=TEXT(计算!T101, "#.00")</f>
        <v>1</v>
      </c>
      <c r="U103" s="65" t="b">
        <f>TEXT(导出!U101,"#.00")=TEXT(计算!U101, "#.00")</f>
        <v>1</v>
      </c>
      <c r="V103" s="65" t="b">
        <f>TEXT(导出!V101,"#.00")=TEXT(计算!V101*100, "#.00")</f>
        <v>1</v>
      </c>
      <c r="W103" s="65" t="b">
        <f>TEXT(导出!W101,"#.00")=TEXT(计算!W101, "#.00")</f>
        <v>1</v>
      </c>
      <c r="X103" s="65" t="b">
        <f>TEXT(导出!X101,"#.00")=TEXT(计算!X101, "#.00")</f>
        <v>1</v>
      </c>
      <c r="Y103" s="65" t="b">
        <f>TEXT(导出!Y101,"#.00")=TEXT(计算!Y101, "#.00")</f>
        <v>1</v>
      </c>
      <c r="Z103" s="65" t="b">
        <f>TEXT(导出!Z101,"#.00")=TEXT(计算!Z101, "#.00")</f>
        <v>1</v>
      </c>
      <c r="AA103" s="65" t="b">
        <f>TEXT(导出!AA101,"#.00")=TEXT(计算!AA101*100, "#.00")</f>
        <v>1</v>
      </c>
      <c r="AB103" s="65" t="b">
        <f>TEXT(导出!AB101,"#.00")=TEXT(计算!AB101, "#.00")</f>
        <v>1</v>
      </c>
      <c r="AC103" s="65" t="b">
        <f>TEXT(导出!AC101,"#.00")=TEXT(计算!AC101, "#.00")</f>
        <v>1</v>
      </c>
      <c r="AD103" s="65" t="b">
        <f>TEXT(导出!AD101,"#.00")=TEXT(计算!AD101, "#.00")</f>
        <v>1</v>
      </c>
      <c r="AE103" s="65" t="b">
        <f>ABS(导出!AE101-计算!AE101)&lt;10</f>
        <v>1</v>
      </c>
      <c r="AF103" s="65" t="b">
        <f>TEXT(ABS(导出!AF101),"#.00")=TEXT(ABS(计算!AF101), "#.00")</f>
        <v>1</v>
      </c>
      <c r="AG103" s="65" t="b">
        <f>TEXT(导出!AG101,"#.00")=TEXT(计算!AG101, "#.00")</f>
        <v>1</v>
      </c>
      <c r="AH103" s="65" t="b">
        <f>TEXT(导出!AH101,"#.00")=TEXT(计算!AH101, "#.00")</f>
        <v>1</v>
      </c>
      <c r="AI103">
        <v>0</v>
      </c>
      <c r="AJ103" s="3">
        <v>41912.686273148101</v>
      </c>
      <c r="AK103" s="2" t="s">
        <v>2026</v>
      </c>
    </row>
    <row r="104" spans="1:37" x14ac:dyDescent="0.15">
      <c r="A104" s="2" t="s">
        <v>2025</v>
      </c>
      <c r="B104">
        <v>847</v>
      </c>
      <c r="C104" s="3">
        <v>41457</v>
      </c>
      <c r="D104" s="2" t="s">
        <v>37</v>
      </c>
      <c r="E104" s="2" t="s">
        <v>2024</v>
      </c>
      <c r="F104" s="2" t="s">
        <v>38</v>
      </c>
      <c r="G104" s="2" t="s">
        <v>243</v>
      </c>
      <c r="H104" s="2" t="s">
        <v>244</v>
      </c>
      <c r="I104" s="65" t="b">
        <f>导出!I102=计算!I102</f>
        <v>1</v>
      </c>
      <c r="J104" s="65" t="b">
        <f>导出!J102=计算!J102</f>
        <v>1</v>
      </c>
      <c r="K104" s="65" t="b">
        <f>导出!K102=计算!K102</f>
        <v>1</v>
      </c>
      <c r="L104" s="65" t="b">
        <f>导出!L102=计算!L102</f>
        <v>1</v>
      </c>
      <c r="M104" s="65" t="b">
        <f>导出!M102=计算!M102</f>
        <v>1</v>
      </c>
      <c r="N104" s="65" t="b">
        <f>TEXT(导出!N102,"#.00")=TEXT(计算!N102, "#.00")</f>
        <v>1</v>
      </c>
      <c r="O104" s="65" t="b">
        <f>TEXT(导出!O102,"#.00")=TEXT(计算!O102, "#.00")</f>
        <v>1</v>
      </c>
      <c r="P104" s="65" t="b">
        <f>TEXT(导出!P102,"#.00")=TEXT(计算!P102, "#.00")</f>
        <v>1</v>
      </c>
      <c r="Q104" s="65" t="b">
        <f>TEXT(导出!Q102,"#.00")=TEXT(计算!Q102, "#.00")</f>
        <v>1</v>
      </c>
      <c r="R104" s="65" t="b">
        <f>TEXT(导出!R102,"#.00")=TEXT(计算!R102, "#.00")</f>
        <v>1</v>
      </c>
      <c r="S104" s="65" t="b">
        <f>TEXT(导出!S102,"#.00")=TEXT(计算!S102, "#.00")</f>
        <v>1</v>
      </c>
      <c r="T104" s="65" t="b">
        <f>TEXT(导出!T102,"#.00")=TEXT(计算!T102, "#.00")</f>
        <v>1</v>
      </c>
      <c r="U104" s="65" t="b">
        <f>TEXT(导出!U102,"#.00")=TEXT(计算!U102, "#.00")</f>
        <v>1</v>
      </c>
      <c r="V104" s="65" t="b">
        <f>TEXT(导出!V102,"#.00")=TEXT(计算!V102*100, "#.00")</f>
        <v>1</v>
      </c>
      <c r="W104" s="65" t="b">
        <f>TEXT(导出!W102,"#.00")=TEXT(计算!W102, "#.00")</f>
        <v>1</v>
      </c>
      <c r="X104" s="65" t="b">
        <f>TEXT(导出!X102,"#.00")=TEXT(计算!X102, "#.00")</f>
        <v>1</v>
      </c>
      <c r="Y104" s="65" t="b">
        <f>TEXT(导出!Y102,"#.00")=TEXT(计算!Y102, "#.00")</f>
        <v>1</v>
      </c>
      <c r="Z104" s="65" t="b">
        <f>TEXT(导出!Z102,"#.00")=TEXT(计算!Z102, "#.00")</f>
        <v>1</v>
      </c>
      <c r="AA104" s="65" t="b">
        <f>TEXT(导出!AA102,"#.00")=TEXT(计算!AA102*100, "#.00")</f>
        <v>1</v>
      </c>
      <c r="AB104" s="65" t="b">
        <f>TEXT(导出!AB102,"#.00")=TEXT(计算!AB102, "#.00")</f>
        <v>1</v>
      </c>
      <c r="AC104" s="65" t="b">
        <f>TEXT(导出!AC102,"#.00")=TEXT(计算!AC102, "#.00")</f>
        <v>1</v>
      </c>
      <c r="AD104" s="65" t="b">
        <f>TEXT(导出!AD102,"#.00")=TEXT(计算!AD102, "#.00")</f>
        <v>1</v>
      </c>
      <c r="AE104" s="65" t="b">
        <f>ABS(导出!AE102-计算!AE102)&lt;10</f>
        <v>1</v>
      </c>
      <c r="AF104" s="65" t="b">
        <f>TEXT(ABS(导出!AF102),"#.00")=TEXT(ABS(计算!AF102), "#.00")</f>
        <v>1</v>
      </c>
      <c r="AG104" s="65" t="b">
        <f>TEXT(导出!AG102,"#.00")=TEXT(计算!AG102, "#.00")</f>
        <v>1</v>
      </c>
      <c r="AH104" s="65" t="b">
        <f>TEXT(导出!AH102,"#.00")=TEXT(计算!AH102, "#.00")</f>
        <v>1</v>
      </c>
      <c r="AI104">
        <v>0</v>
      </c>
      <c r="AJ104" s="3">
        <v>41912.686273148101</v>
      </c>
      <c r="AK104" s="2" t="s">
        <v>2023</v>
      </c>
    </row>
    <row r="105" spans="1:37" x14ac:dyDescent="0.15">
      <c r="A105" s="2" t="s">
        <v>2022</v>
      </c>
      <c r="B105">
        <v>854</v>
      </c>
      <c r="C105" s="3">
        <v>41459</v>
      </c>
      <c r="D105" s="2" t="s">
        <v>37</v>
      </c>
      <c r="E105" s="2" t="s">
        <v>2021</v>
      </c>
      <c r="F105" s="2" t="s">
        <v>38</v>
      </c>
      <c r="G105" s="2" t="s">
        <v>245</v>
      </c>
      <c r="H105" s="2" t="s">
        <v>246</v>
      </c>
      <c r="I105" s="65" t="b">
        <f>导出!I103=计算!I103</f>
        <v>1</v>
      </c>
      <c r="J105" s="65" t="b">
        <f>导出!J103=计算!J103</f>
        <v>1</v>
      </c>
      <c r="K105" s="65" t="b">
        <f>导出!K103=计算!K103</f>
        <v>1</v>
      </c>
      <c r="L105" s="65" t="b">
        <f>导出!L103=计算!L103</f>
        <v>1</v>
      </c>
      <c r="M105" s="65" t="b">
        <f>导出!M103=计算!M103</f>
        <v>1</v>
      </c>
      <c r="N105" s="65" t="b">
        <f>TEXT(导出!N103,"#.00")=TEXT(计算!N103, "#.00")</f>
        <v>1</v>
      </c>
      <c r="O105" s="65" t="b">
        <f>TEXT(导出!O103,"#.00")=TEXT(计算!O103, "#.00")</f>
        <v>1</v>
      </c>
      <c r="P105" s="65" t="b">
        <f>TEXT(导出!P103,"#.00")=TEXT(计算!P103, "#.00")</f>
        <v>1</v>
      </c>
      <c r="Q105" s="65" t="b">
        <f>TEXT(导出!Q103,"#.00")=TEXT(计算!Q103, "#.00")</f>
        <v>0</v>
      </c>
      <c r="R105" s="65" t="b">
        <f>TEXT(导出!R103,"#.00")=TEXT(计算!R103, "#.00")</f>
        <v>1</v>
      </c>
      <c r="S105" s="65" t="b">
        <f>TEXT(导出!S103,"#.00")=TEXT(计算!S103, "#.00")</f>
        <v>1</v>
      </c>
      <c r="T105" s="65" t="b">
        <f>TEXT(导出!T103,"#.00")=TEXT(计算!T103, "#.00")</f>
        <v>1</v>
      </c>
      <c r="U105" s="65" t="b">
        <f>TEXT(导出!U103,"#.00")=TEXT(计算!U103, "#.00")</f>
        <v>1</v>
      </c>
      <c r="V105" s="65" t="b">
        <f>TEXT(导出!V103,"#.00")=TEXT(计算!V103*100, "#.00")</f>
        <v>1</v>
      </c>
      <c r="W105" s="65" t="b">
        <f>TEXT(导出!W103,"#.00")=TEXT(计算!W103, "#.00")</f>
        <v>1</v>
      </c>
      <c r="X105" s="65" t="b">
        <f>TEXT(导出!X103,"#.00")=TEXT(计算!X103, "#.00")</f>
        <v>1</v>
      </c>
      <c r="Y105" s="65" t="b">
        <f>TEXT(导出!Y103,"#.00")=TEXT(计算!Y103, "#.00")</f>
        <v>1</v>
      </c>
      <c r="Z105" s="65" t="b">
        <f>TEXT(导出!Z103,"#.00")=TEXT(计算!Z103, "#.00")</f>
        <v>1</v>
      </c>
      <c r="AA105" s="65" t="b">
        <f>TEXT(导出!AA103,"#.00")=TEXT(计算!AA103*100, "#.00")</f>
        <v>1</v>
      </c>
      <c r="AB105" s="65" t="b">
        <f>TEXT(导出!AB103,"#.00")=TEXT(计算!AB103, "#.00")</f>
        <v>1</v>
      </c>
      <c r="AC105" s="65" t="b">
        <f>TEXT(导出!AC103,"#.00")=TEXT(计算!AC103, "#.00")</f>
        <v>1</v>
      </c>
      <c r="AD105" s="65" t="b">
        <f>TEXT(导出!AD103,"#.00")=TEXT(计算!AD103, "#.00")</f>
        <v>1</v>
      </c>
      <c r="AE105" s="65" t="b">
        <f>ABS(导出!AE103-计算!AE103)&lt;10</f>
        <v>1</v>
      </c>
      <c r="AF105" s="65" t="b">
        <f>TEXT(ABS(导出!AF103),"#.00")=TEXT(ABS(计算!AF103), "#.00")</f>
        <v>1</v>
      </c>
      <c r="AG105" s="65" t="b">
        <f>TEXT(导出!AG103,"#.00")=TEXT(计算!AG103, "#.00")</f>
        <v>1</v>
      </c>
      <c r="AH105" s="65" t="b">
        <f>TEXT(导出!AH103,"#.00")=TEXT(计算!AH103, "#.00")</f>
        <v>1</v>
      </c>
      <c r="AI105">
        <v>0</v>
      </c>
      <c r="AJ105" s="3">
        <v>41912.686273148101</v>
      </c>
      <c r="AK105" s="2" t="s">
        <v>2020</v>
      </c>
    </row>
    <row r="106" spans="1:37" x14ac:dyDescent="0.15">
      <c r="A106" s="2" t="s">
        <v>2019</v>
      </c>
      <c r="B106">
        <v>861</v>
      </c>
      <c r="C106" s="3">
        <v>41470</v>
      </c>
      <c r="D106" s="2" t="s">
        <v>37</v>
      </c>
      <c r="E106" s="2" t="s">
        <v>2018</v>
      </c>
      <c r="F106" s="2" t="s">
        <v>38</v>
      </c>
      <c r="G106" s="2" t="s">
        <v>247</v>
      </c>
      <c r="H106" s="2" t="s">
        <v>248</v>
      </c>
      <c r="I106" s="65" t="b">
        <f>导出!I104=计算!I104</f>
        <v>1</v>
      </c>
      <c r="J106" s="65" t="b">
        <f>导出!J104=计算!J104</f>
        <v>1</v>
      </c>
      <c r="K106" s="65" t="b">
        <f>导出!K104=计算!K104</f>
        <v>1</v>
      </c>
      <c r="L106" s="65" t="b">
        <f>导出!L104=计算!L104</f>
        <v>1</v>
      </c>
      <c r="M106" s="65" t="b">
        <f>导出!M104=计算!M104</f>
        <v>1</v>
      </c>
      <c r="N106" s="65" t="b">
        <f>TEXT(导出!N104,"#.00")=TEXT(计算!N104, "#.00")</f>
        <v>1</v>
      </c>
      <c r="O106" s="65" t="b">
        <f>TEXT(导出!O104,"#.00")=TEXT(计算!O104, "#.00")</f>
        <v>1</v>
      </c>
      <c r="P106" s="65" t="b">
        <f>TEXT(导出!P104,"#.00")=TEXT(计算!P104, "#.00")</f>
        <v>1</v>
      </c>
      <c r="Q106" s="65" t="b">
        <f>TEXT(导出!Q104,"#.00")=TEXT(计算!Q104, "#.00")</f>
        <v>0</v>
      </c>
      <c r="R106" s="65" t="b">
        <f>TEXT(导出!R104,"#.00")=TEXT(计算!R104, "#.00")</f>
        <v>1</v>
      </c>
      <c r="S106" s="65" t="b">
        <f>TEXT(导出!S104,"#.00")=TEXT(计算!S104, "#.00")</f>
        <v>1</v>
      </c>
      <c r="T106" s="65" t="b">
        <f>TEXT(导出!T104,"#.00")=TEXT(计算!T104, "#.00")</f>
        <v>1</v>
      </c>
      <c r="U106" s="65" t="b">
        <f>TEXT(导出!U104,"#.00")=TEXT(计算!U104, "#.00")</f>
        <v>1</v>
      </c>
      <c r="V106" s="65" t="b">
        <f>TEXT(导出!V104,"#.00")=TEXT(计算!V104*100, "#.00")</f>
        <v>1</v>
      </c>
      <c r="W106" s="65" t="b">
        <f>TEXT(导出!W104,"#.00")=TEXT(计算!W104, "#.00")</f>
        <v>1</v>
      </c>
      <c r="X106" s="65" t="b">
        <f>TEXT(导出!X104,"#.00")=TEXT(计算!X104, "#.00")</f>
        <v>1</v>
      </c>
      <c r="Y106" s="65" t="b">
        <f>TEXT(导出!Y104,"#.00")=TEXT(计算!Y104, "#.00")</f>
        <v>1</v>
      </c>
      <c r="Z106" s="65" t="b">
        <f>TEXT(导出!Z104,"#.00")=TEXT(计算!Z104, "#.00")</f>
        <v>1</v>
      </c>
      <c r="AA106" s="65" t="b">
        <f>TEXT(导出!AA104,"#.00")=TEXT(计算!AA104*100, "#.00")</f>
        <v>1</v>
      </c>
      <c r="AB106" s="65" t="b">
        <f>TEXT(导出!AB104,"#.00")=TEXT(计算!AB104, "#.00")</f>
        <v>1</v>
      </c>
      <c r="AC106" s="65" t="b">
        <f>TEXT(导出!AC104,"#.00")=TEXT(计算!AC104, "#.00")</f>
        <v>1</v>
      </c>
      <c r="AD106" s="65" t="b">
        <f>TEXT(导出!AD104,"#.00")=TEXT(计算!AD104, "#.00")</f>
        <v>1</v>
      </c>
      <c r="AE106" s="65" t="b">
        <f>ABS(导出!AE104-计算!AE104)&lt;10</f>
        <v>1</v>
      </c>
      <c r="AF106" s="65" t="b">
        <f>TEXT(ABS(导出!AF104),"#.00")=TEXT(ABS(计算!AF104), "#.00")</f>
        <v>1</v>
      </c>
      <c r="AG106" s="65" t="b">
        <f>TEXT(导出!AG104,"#.00")=TEXT(计算!AG104, "#.00")</f>
        <v>1</v>
      </c>
      <c r="AH106" s="65" t="b">
        <f>TEXT(导出!AH104,"#.00")=TEXT(计算!AH104, "#.00")</f>
        <v>1</v>
      </c>
      <c r="AI106">
        <v>0</v>
      </c>
      <c r="AJ106" s="3">
        <v>41912.686273148101</v>
      </c>
      <c r="AK106" s="2" t="s">
        <v>2017</v>
      </c>
    </row>
    <row r="107" spans="1:37" x14ac:dyDescent="0.15">
      <c r="A107" s="2" t="s">
        <v>2016</v>
      </c>
      <c r="B107">
        <v>865</v>
      </c>
      <c r="C107" s="3">
        <v>41472</v>
      </c>
      <c r="D107" s="2" t="s">
        <v>37</v>
      </c>
      <c r="E107" s="2" t="s">
        <v>2015</v>
      </c>
      <c r="F107" s="2" t="s">
        <v>38</v>
      </c>
      <c r="G107" s="2" t="s">
        <v>249</v>
      </c>
      <c r="H107" s="2" t="s">
        <v>250</v>
      </c>
      <c r="I107" s="65" t="b">
        <f>导出!I105=计算!I105</f>
        <v>1</v>
      </c>
      <c r="J107" s="65" t="b">
        <f>导出!J105=计算!J105</f>
        <v>1</v>
      </c>
      <c r="K107" s="65" t="b">
        <f>导出!K105=计算!K105</f>
        <v>1</v>
      </c>
      <c r="L107" s="65" t="b">
        <f>导出!L105=计算!L105</f>
        <v>1</v>
      </c>
      <c r="M107" s="65" t="b">
        <f>导出!M105=计算!M105</f>
        <v>1</v>
      </c>
      <c r="N107" s="65" t="b">
        <f>TEXT(导出!N105,"#.00")=TEXT(计算!N105, "#.00")</f>
        <v>1</v>
      </c>
      <c r="O107" s="65" t="b">
        <f>TEXT(导出!O105,"#.00")=TEXT(计算!O105, "#.00")</f>
        <v>1</v>
      </c>
      <c r="P107" s="65" t="b">
        <f>TEXT(导出!P105,"#.00")=TEXT(计算!P105, "#.00")</f>
        <v>1</v>
      </c>
      <c r="Q107" s="65" t="b">
        <f>TEXT(导出!Q105,"#.00")=TEXT(计算!Q105, "#.00")</f>
        <v>1</v>
      </c>
      <c r="R107" s="65" t="b">
        <f>TEXT(导出!R105,"#.00")=TEXT(计算!R105, "#.00")</f>
        <v>1</v>
      </c>
      <c r="S107" s="65" t="b">
        <f>TEXT(导出!S105,"#.00")=TEXT(计算!S105, "#.00")</f>
        <v>1</v>
      </c>
      <c r="T107" s="65" t="b">
        <f>TEXT(导出!T105,"#.00")=TEXT(计算!T105, "#.00")</f>
        <v>1</v>
      </c>
      <c r="U107" s="65" t="b">
        <f>TEXT(导出!U105,"#.00")=TEXT(计算!U105, "#.00")</f>
        <v>1</v>
      </c>
      <c r="V107" s="65" t="b">
        <f>TEXT(导出!V105,"#.00")=TEXT(计算!V105*100, "#.00")</f>
        <v>1</v>
      </c>
      <c r="W107" s="65" t="b">
        <f>TEXT(导出!W105,"#.00")=TEXT(计算!W105, "#.00")</f>
        <v>1</v>
      </c>
      <c r="X107" s="65" t="b">
        <f>TEXT(导出!X105,"#.00")=TEXT(计算!X105, "#.00")</f>
        <v>1</v>
      </c>
      <c r="Y107" s="65" t="b">
        <f>TEXT(导出!Y105,"#.00")=TEXT(计算!Y105, "#.00")</f>
        <v>1</v>
      </c>
      <c r="Z107" s="65" t="b">
        <f>TEXT(导出!Z105,"#.00")=TEXT(计算!Z105, "#.00")</f>
        <v>1</v>
      </c>
      <c r="AA107" s="65" t="b">
        <f>TEXT(导出!AA105,"#.00")=TEXT(计算!AA105*100, "#.00")</f>
        <v>1</v>
      </c>
      <c r="AB107" s="65" t="b">
        <f>TEXT(导出!AB105,"#.00")=TEXT(计算!AB105, "#.00")</f>
        <v>1</v>
      </c>
      <c r="AC107" s="65" t="b">
        <f>TEXT(导出!AC105,"#.00")=TEXT(计算!AC105, "#.00")</f>
        <v>1</v>
      </c>
      <c r="AD107" s="65" t="b">
        <f>TEXT(导出!AD105,"#.00")=TEXT(计算!AD105, "#.00")</f>
        <v>1</v>
      </c>
      <c r="AE107" s="65" t="b">
        <f>ABS(导出!AE105-计算!AE105)&lt;10</f>
        <v>1</v>
      </c>
      <c r="AF107" s="65" t="b">
        <f>TEXT(ABS(导出!AF105),"#.00")=TEXT(ABS(计算!AF105), "#.00")</f>
        <v>1</v>
      </c>
      <c r="AG107" s="65" t="b">
        <f>TEXT(导出!AG105,"#.00")=TEXT(计算!AG105, "#.00")</f>
        <v>1</v>
      </c>
      <c r="AH107" s="65" t="b">
        <f>TEXT(导出!AH105,"#.00")=TEXT(计算!AH105, "#.00")</f>
        <v>1</v>
      </c>
      <c r="AI107">
        <v>0</v>
      </c>
      <c r="AJ107" s="3">
        <v>41912.686273148101</v>
      </c>
      <c r="AK107" s="2" t="s">
        <v>2014</v>
      </c>
    </row>
    <row r="108" spans="1:37" x14ac:dyDescent="0.15">
      <c r="A108" s="2" t="s">
        <v>2013</v>
      </c>
      <c r="B108">
        <v>872</v>
      </c>
      <c r="C108" s="3">
        <v>41484</v>
      </c>
      <c r="D108" s="2" t="s">
        <v>37</v>
      </c>
      <c r="E108" s="2" t="s">
        <v>2012</v>
      </c>
      <c r="F108" s="2" t="s">
        <v>38</v>
      </c>
      <c r="G108" s="2" t="s">
        <v>251</v>
      </c>
      <c r="H108" s="2" t="s">
        <v>252</v>
      </c>
      <c r="I108" s="65" t="b">
        <f>导出!I106=计算!I106</f>
        <v>1</v>
      </c>
      <c r="J108" s="65" t="b">
        <f>导出!J106=计算!J106</f>
        <v>1</v>
      </c>
      <c r="K108" s="65" t="b">
        <f>导出!K106=计算!K106</f>
        <v>1</v>
      </c>
      <c r="L108" s="65" t="b">
        <f>导出!L106=计算!L106</f>
        <v>1</v>
      </c>
      <c r="M108" s="65" t="b">
        <f>导出!M106=计算!M106</f>
        <v>1</v>
      </c>
      <c r="N108" s="65" t="b">
        <f>TEXT(导出!N106,"#.00")=TEXT(计算!N106, "#.00")</f>
        <v>1</v>
      </c>
      <c r="O108" s="65" t="b">
        <f>TEXT(导出!O106,"#.00")=TEXT(计算!O106, "#.00")</f>
        <v>1</v>
      </c>
      <c r="P108" s="65" t="b">
        <f>TEXT(导出!P106,"#.00")=TEXT(计算!P106, "#.00")</f>
        <v>1</v>
      </c>
      <c r="Q108" s="65" t="b">
        <f>TEXT(导出!Q106,"#.00")=TEXT(计算!Q106, "#.00")</f>
        <v>0</v>
      </c>
      <c r="R108" s="65" t="b">
        <f>TEXT(导出!R106,"#.00")=TEXT(计算!R106, "#.00")</f>
        <v>1</v>
      </c>
      <c r="S108" s="65" t="b">
        <f>TEXT(导出!S106,"#.00")=TEXT(计算!S106, "#.00")</f>
        <v>1</v>
      </c>
      <c r="T108" s="65" t="b">
        <f>TEXT(导出!T106,"#.00")=TEXT(计算!T106, "#.00")</f>
        <v>1</v>
      </c>
      <c r="U108" s="65" t="b">
        <f>TEXT(导出!U106,"#.00")=TEXT(计算!U106, "#.00")</f>
        <v>1</v>
      </c>
      <c r="V108" s="65" t="b">
        <f>TEXT(导出!V106,"#.00")=TEXT(计算!V106*100, "#.00")</f>
        <v>1</v>
      </c>
      <c r="W108" s="65" t="b">
        <f>TEXT(导出!W106,"#.00")=TEXT(计算!W106, "#.00")</f>
        <v>1</v>
      </c>
      <c r="X108" s="65" t="b">
        <f>TEXT(导出!X106,"#.00")=TEXT(计算!X106, "#.00")</f>
        <v>1</v>
      </c>
      <c r="Y108" s="65" t="b">
        <f>TEXT(导出!Y106,"#.00")=TEXT(计算!Y106, "#.00")</f>
        <v>1</v>
      </c>
      <c r="Z108" s="65" t="b">
        <f>TEXT(导出!Z106,"#.00")=TEXT(计算!Z106, "#.00")</f>
        <v>1</v>
      </c>
      <c r="AA108" s="65" t="b">
        <f>TEXT(导出!AA106,"#.00")=TEXT(计算!AA106*100, "#.00")</f>
        <v>1</v>
      </c>
      <c r="AB108" s="65" t="b">
        <f>TEXT(导出!AB106,"#.00")=TEXT(计算!AB106, "#.00")</f>
        <v>1</v>
      </c>
      <c r="AC108" s="65" t="b">
        <f>TEXT(导出!AC106,"#.00")=TEXT(计算!AC106, "#.00")</f>
        <v>1</v>
      </c>
      <c r="AD108" s="65" t="b">
        <f>TEXT(导出!AD106,"#.00")=TEXT(计算!AD106, "#.00")</f>
        <v>1</v>
      </c>
      <c r="AE108" s="65" t="b">
        <f>ABS(导出!AE106-计算!AE106)&lt;10</f>
        <v>1</v>
      </c>
      <c r="AF108" s="65" t="b">
        <f>TEXT(ABS(导出!AF106),"#.00")=TEXT(ABS(计算!AF106), "#.00")</f>
        <v>1</v>
      </c>
      <c r="AG108" s="65" t="b">
        <f>TEXT(导出!AG106,"#.00")=TEXT(计算!AG106, "#.00")</f>
        <v>1</v>
      </c>
      <c r="AH108" s="65" t="b">
        <f>TEXT(导出!AH106,"#.00")=TEXT(计算!AH106, "#.00")</f>
        <v>1</v>
      </c>
      <c r="AI108">
        <v>0</v>
      </c>
      <c r="AJ108" s="3">
        <v>41912.686273148101</v>
      </c>
      <c r="AK108" s="2" t="s">
        <v>2011</v>
      </c>
    </row>
    <row r="109" spans="1:37" x14ac:dyDescent="0.15">
      <c r="A109" s="2" t="s">
        <v>2010</v>
      </c>
      <c r="B109">
        <v>880</v>
      </c>
      <c r="C109" s="3">
        <v>41484</v>
      </c>
      <c r="D109" s="2" t="s">
        <v>37</v>
      </c>
      <c r="E109" s="2" t="s">
        <v>2009</v>
      </c>
      <c r="F109" s="2" t="s">
        <v>38</v>
      </c>
      <c r="G109" s="2" t="s">
        <v>253</v>
      </c>
      <c r="H109" s="2" t="s">
        <v>254</v>
      </c>
      <c r="I109" s="65" t="b">
        <f>导出!I107=计算!I107</f>
        <v>1</v>
      </c>
      <c r="J109" s="65" t="b">
        <f>导出!J107=计算!J107</f>
        <v>1</v>
      </c>
      <c r="K109" s="65" t="b">
        <f>导出!K107=计算!K107</f>
        <v>1</v>
      </c>
      <c r="L109" s="65" t="b">
        <f>导出!L107=计算!L107</f>
        <v>1</v>
      </c>
      <c r="M109" s="65" t="b">
        <f>导出!M107=计算!M107</f>
        <v>1</v>
      </c>
      <c r="N109" s="65" t="b">
        <f>TEXT(导出!N107,"#.00")=TEXT(计算!N107, "#.00")</f>
        <v>1</v>
      </c>
      <c r="O109" s="65" t="b">
        <f>TEXT(导出!O107,"#.00")=TEXT(计算!O107, "#.00")</f>
        <v>1</v>
      </c>
      <c r="P109" s="65" t="b">
        <f>TEXT(导出!P107,"#.00")=TEXT(计算!P107, "#.00")</f>
        <v>1</v>
      </c>
      <c r="Q109" s="65" t="b">
        <f>TEXT(导出!Q107,"#.00")=TEXT(计算!Q107, "#.00")</f>
        <v>0</v>
      </c>
      <c r="R109" s="65" t="b">
        <f>TEXT(导出!R107,"#.00")=TEXT(计算!R107, "#.00")</f>
        <v>1</v>
      </c>
      <c r="S109" s="65" t="b">
        <f>TEXT(导出!S107,"#.00")=TEXT(计算!S107, "#.00")</f>
        <v>1</v>
      </c>
      <c r="T109" s="65" t="b">
        <f>TEXT(导出!T107,"#.00")=TEXT(计算!T107, "#.00")</f>
        <v>1</v>
      </c>
      <c r="U109" s="65" t="b">
        <f>TEXT(导出!U107,"#.00")=TEXT(计算!U107, "#.00")</f>
        <v>1</v>
      </c>
      <c r="V109" s="65" t="b">
        <f>TEXT(导出!V107,"#.00")=TEXT(计算!V107*100, "#.00")</f>
        <v>1</v>
      </c>
      <c r="W109" s="65" t="b">
        <f>TEXT(导出!W107,"#.00")=TEXT(计算!W107, "#.00")</f>
        <v>1</v>
      </c>
      <c r="X109" s="65" t="b">
        <f>TEXT(导出!X107,"#.00")=TEXT(计算!X107, "#.00")</f>
        <v>1</v>
      </c>
      <c r="Y109" s="65" t="b">
        <f>TEXT(导出!Y107,"#.00")=TEXT(计算!Y107, "#.00")</f>
        <v>1</v>
      </c>
      <c r="Z109" s="65" t="b">
        <f>TEXT(导出!Z107,"#.00")=TEXT(计算!Z107, "#.00")</f>
        <v>1</v>
      </c>
      <c r="AA109" s="65" t="b">
        <f>TEXT(导出!AA107,"#.00")=TEXT(计算!AA107*100, "#.00")</f>
        <v>1</v>
      </c>
      <c r="AB109" s="65" t="b">
        <f>TEXT(导出!AB107,"#.00")=TEXT(计算!AB107, "#.00")</f>
        <v>1</v>
      </c>
      <c r="AC109" s="65" t="b">
        <f>TEXT(导出!AC107,"#.00")=TEXT(计算!AC107, "#.00")</f>
        <v>1</v>
      </c>
      <c r="AD109" s="65" t="b">
        <f>TEXT(导出!AD107,"#.00")=TEXT(计算!AD107, "#.00")</f>
        <v>1</v>
      </c>
      <c r="AE109" s="65" t="b">
        <f>ABS(导出!AE107-计算!AE107)&lt;10</f>
        <v>0</v>
      </c>
      <c r="AF109" s="65" t="b">
        <f>TEXT(ABS(导出!AF107),"#.00")=TEXT(ABS(计算!AF107), "#.00")</f>
        <v>1</v>
      </c>
      <c r="AG109" s="65" t="b">
        <f>TEXT(导出!AG107,"#.00")=TEXT(计算!AG107, "#.00")</f>
        <v>1</v>
      </c>
      <c r="AH109" s="65" t="b">
        <f>TEXT(导出!AH107,"#.00")=TEXT(计算!AH107, "#.00")</f>
        <v>1</v>
      </c>
      <c r="AI109">
        <v>0</v>
      </c>
      <c r="AJ109" s="3">
        <v>41912.686273148101</v>
      </c>
      <c r="AK109" s="2" t="s">
        <v>2008</v>
      </c>
    </row>
    <row r="110" spans="1:37" x14ac:dyDescent="0.15">
      <c r="A110" s="2" t="s">
        <v>2007</v>
      </c>
      <c r="B110">
        <v>896</v>
      </c>
      <c r="C110" s="3">
        <v>41487</v>
      </c>
      <c r="D110" s="2" t="s">
        <v>37</v>
      </c>
      <c r="E110" s="2" t="s">
        <v>2006</v>
      </c>
      <c r="F110" s="2" t="s">
        <v>38</v>
      </c>
      <c r="G110" s="2" t="s">
        <v>257</v>
      </c>
      <c r="H110" s="2" t="s">
        <v>258</v>
      </c>
      <c r="I110" s="65" t="b">
        <f>导出!I108=计算!I108</f>
        <v>1</v>
      </c>
      <c r="J110" s="65" t="b">
        <f>导出!J108=计算!J108</f>
        <v>1</v>
      </c>
      <c r="K110" s="65" t="b">
        <f>导出!K108=计算!K108</f>
        <v>1</v>
      </c>
      <c r="L110" s="65" t="b">
        <f>导出!L108=计算!L108</f>
        <v>1</v>
      </c>
      <c r="M110" s="65" t="b">
        <f>导出!M108=计算!M108</f>
        <v>1</v>
      </c>
      <c r="N110" s="65" t="b">
        <f>TEXT(导出!N108,"#.00")=TEXT(计算!N108, "#.00")</f>
        <v>1</v>
      </c>
      <c r="O110" s="65" t="b">
        <f>TEXT(导出!O108,"#.00")=TEXT(计算!O108, "#.00")</f>
        <v>1</v>
      </c>
      <c r="P110" s="65" t="b">
        <f>TEXT(导出!P108,"#.00")=TEXT(计算!P108, "#.00")</f>
        <v>1</v>
      </c>
      <c r="Q110" s="65" t="b">
        <f>TEXT(导出!Q108,"#.00")=TEXT(计算!Q108, "#.00")</f>
        <v>0</v>
      </c>
      <c r="R110" s="65" t="b">
        <f>TEXT(导出!R108,"#.00")=TEXT(计算!R108, "#.00")</f>
        <v>1</v>
      </c>
      <c r="S110" s="65" t="b">
        <f>TEXT(导出!S108,"#.00")=TEXT(计算!S108, "#.00")</f>
        <v>1</v>
      </c>
      <c r="T110" s="65" t="b">
        <f>TEXT(导出!T108,"#.00")=TEXT(计算!T108, "#.00")</f>
        <v>1</v>
      </c>
      <c r="U110" s="65" t="b">
        <f>TEXT(导出!U108,"#.00")=TEXT(计算!U108, "#.00")</f>
        <v>1</v>
      </c>
      <c r="V110" s="65" t="b">
        <f>TEXT(导出!V108,"#.00")=TEXT(计算!V108*100, "#.00")</f>
        <v>1</v>
      </c>
      <c r="W110" s="65" t="b">
        <f>TEXT(导出!W108,"#.00")=TEXT(计算!W108, "#.00")</f>
        <v>1</v>
      </c>
      <c r="X110" s="65" t="b">
        <f>TEXT(导出!X108,"#.00")=TEXT(计算!X108, "#.00")</f>
        <v>1</v>
      </c>
      <c r="Y110" s="65" t="b">
        <f>TEXT(导出!Y108,"#.00")=TEXT(计算!Y108, "#.00")</f>
        <v>1</v>
      </c>
      <c r="Z110" s="65" t="b">
        <f>TEXT(导出!Z108,"#.00")=TEXT(计算!Z108, "#.00")</f>
        <v>1</v>
      </c>
      <c r="AA110" s="65" t="b">
        <f>TEXT(导出!AA108,"#.00")=TEXT(计算!AA108*100, "#.00")</f>
        <v>1</v>
      </c>
      <c r="AB110" s="65" t="b">
        <f>TEXT(导出!AB108,"#.00")=TEXT(计算!AB108, "#.00")</f>
        <v>1</v>
      </c>
      <c r="AC110" s="65" t="b">
        <f>TEXT(导出!AC108,"#.00")=TEXT(计算!AC108, "#.00")</f>
        <v>1</v>
      </c>
      <c r="AD110" s="65" t="b">
        <f>TEXT(导出!AD108,"#.00")=TEXT(计算!AD108, "#.00")</f>
        <v>1</v>
      </c>
      <c r="AE110" s="65" t="b">
        <f>ABS(导出!AE108-计算!AE108)&lt;10</f>
        <v>1</v>
      </c>
      <c r="AF110" s="65" t="b">
        <f>TEXT(ABS(导出!AF108),"#.00")=TEXT(ABS(计算!AF108), "#.00")</f>
        <v>1</v>
      </c>
      <c r="AG110" s="65" t="b">
        <f>TEXT(导出!AG108,"#.00")=TEXT(计算!AG108, "#.00")</f>
        <v>1</v>
      </c>
      <c r="AH110" s="65" t="b">
        <f>TEXT(导出!AH108,"#.00")=TEXT(计算!AH108, "#.00")</f>
        <v>1</v>
      </c>
      <c r="AI110">
        <v>0</v>
      </c>
      <c r="AJ110" s="3">
        <v>41912.686273148101</v>
      </c>
      <c r="AK110" s="2" t="s">
        <v>2005</v>
      </c>
    </row>
    <row r="111" spans="1:37" x14ac:dyDescent="0.15">
      <c r="A111" s="2" t="s">
        <v>2004</v>
      </c>
      <c r="B111">
        <v>135</v>
      </c>
      <c r="C111" s="3">
        <v>41487</v>
      </c>
      <c r="D111" s="2" t="s">
        <v>37</v>
      </c>
      <c r="E111" s="2" t="s">
        <v>2003</v>
      </c>
      <c r="F111" s="2" t="s">
        <v>41</v>
      </c>
      <c r="G111" s="2" t="s">
        <v>255</v>
      </c>
      <c r="H111" s="2" t="s">
        <v>256</v>
      </c>
      <c r="I111" s="65" t="b">
        <f>导出!I109=计算!I109</f>
        <v>1</v>
      </c>
      <c r="J111" s="65" t="b">
        <f>导出!J109=计算!J109</f>
        <v>1</v>
      </c>
      <c r="K111" s="65" t="b">
        <f>导出!K109=计算!K109</f>
        <v>1</v>
      </c>
      <c r="L111" s="65" t="b">
        <f>导出!L109=计算!L109</f>
        <v>1</v>
      </c>
      <c r="M111" s="65" t="b">
        <f>导出!M109=计算!M109</f>
        <v>1</v>
      </c>
      <c r="N111" s="65" t="b">
        <f>TEXT(导出!N109,"#.00")=TEXT(计算!N109, "#.00")</f>
        <v>1</v>
      </c>
      <c r="O111" s="65" t="b">
        <f>TEXT(导出!O109,"#.00")=TEXT(计算!O109, "#.00")</f>
        <v>1</v>
      </c>
      <c r="P111" s="65" t="b">
        <f>TEXT(导出!P109,"#.00")=TEXT(计算!P109, "#.00")</f>
        <v>1</v>
      </c>
      <c r="Q111" s="65" t="b">
        <f>TEXT(导出!Q109,"#.00")=TEXT(计算!Q109, "#.00")</f>
        <v>1</v>
      </c>
      <c r="R111" s="65" t="b">
        <f>TEXT(导出!R109,"#.00")=TEXT(计算!R109, "#.00")</f>
        <v>1</v>
      </c>
      <c r="S111" s="65" t="b">
        <f>TEXT(导出!S109,"#.00")=TEXT(计算!S109, "#.00")</f>
        <v>1</v>
      </c>
      <c r="T111" s="65" t="b">
        <f>TEXT(导出!T109,"#.00")=TEXT(计算!T109, "#.00")</f>
        <v>1</v>
      </c>
      <c r="U111" s="65" t="b">
        <f>TEXT(导出!U109,"#.00")=TEXT(计算!U109, "#.00")</f>
        <v>1</v>
      </c>
      <c r="V111" s="65" t="b">
        <f>TEXT(导出!V109,"#.00")=TEXT(计算!V109*100, "#.00")</f>
        <v>1</v>
      </c>
      <c r="W111" s="65" t="b">
        <f>TEXT(导出!W109,"#.00")=TEXT(计算!W109, "#.00")</f>
        <v>1</v>
      </c>
      <c r="X111" s="65" t="b">
        <f>TEXT(导出!X109,"#.00")=TEXT(计算!X109, "#.00")</f>
        <v>1</v>
      </c>
      <c r="Y111" s="65" t="b">
        <f>TEXT(导出!Y109,"#.00")=TEXT(计算!Y109, "#.00")</f>
        <v>1</v>
      </c>
      <c r="Z111" s="65" t="b">
        <f>TEXT(导出!Z109,"#.00")=TEXT(计算!Z109, "#.00")</f>
        <v>1</v>
      </c>
      <c r="AA111" s="65" t="b">
        <f>TEXT(导出!AA109,"#.00")=TEXT(计算!AA109*100, "#.00")</f>
        <v>1</v>
      </c>
      <c r="AB111" s="65" t="b">
        <f>TEXT(导出!AB109,"#.00")=TEXT(计算!AB109, "#.00")</f>
        <v>1</v>
      </c>
      <c r="AC111" s="65" t="b">
        <f>TEXT(导出!AC109,"#.00")=TEXT(计算!AC109, "#.00")</f>
        <v>1</v>
      </c>
      <c r="AD111" s="65" t="b">
        <f>TEXT(导出!AD109,"#.00")=TEXT(计算!AD109, "#.00")</f>
        <v>1</v>
      </c>
      <c r="AE111" s="65" t="b">
        <f>ABS(导出!AE109-计算!AE109)&lt;10</f>
        <v>1</v>
      </c>
      <c r="AF111" s="65" t="b">
        <f>TEXT(ABS(导出!AF109),"#.00")=TEXT(ABS(计算!AF109), "#.00")</f>
        <v>1</v>
      </c>
      <c r="AG111" s="65" t="b">
        <f>TEXT(导出!AG109,"#.00")=TEXT(计算!AG109, "#.00")</f>
        <v>1</v>
      </c>
      <c r="AH111" s="65" t="b">
        <f>TEXT(导出!AH109,"#.00")=TEXT(计算!AH109, "#.00")</f>
        <v>1</v>
      </c>
      <c r="AI111">
        <v>0</v>
      </c>
      <c r="AJ111" s="3">
        <v>41912.6862384259</v>
      </c>
      <c r="AK111" s="2" t="s">
        <v>2002</v>
      </c>
    </row>
    <row r="112" spans="1:37" x14ac:dyDescent="0.15">
      <c r="A112" s="2" t="s">
        <v>2001</v>
      </c>
      <c r="B112">
        <v>888</v>
      </c>
      <c r="C112" s="3">
        <v>41494</v>
      </c>
      <c r="D112" s="2" t="s">
        <v>37</v>
      </c>
      <c r="E112" s="2" t="s">
        <v>2000</v>
      </c>
      <c r="F112" s="2" t="s">
        <v>38</v>
      </c>
      <c r="G112" s="2" t="s">
        <v>259</v>
      </c>
      <c r="H112" s="2" t="s">
        <v>260</v>
      </c>
      <c r="I112" s="65" t="b">
        <f>导出!I110=计算!I110</f>
        <v>1</v>
      </c>
      <c r="J112" s="65" t="b">
        <f>导出!J110=计算!J110</f>
        <v>1</v>
      </c>
      <c r="K112" s="65" t="b">
        <f>导出!K110=计算!K110</f>
        <v>1</v>
      </c>
      <c r="L112" s="65" t="b">
        <f>导出!L110=计算!L110</f>
        <v>1</v>
      </c>
      <c r="M112" s="65" t="b">
        <f>导出!M110=计算!M110</f>
        <v>1</v>
      </c>
      <c r="N112" s="65" t="b">
        <f>TEXT(导出!N110,"#.00")=TEXT(计算!N110, "#.00")</f>
        <v>1</v>
      </c>
      <c r="O112" s="65" t="b">
        <f>TEXT(导出!O110,"#.00")=TEXT(计算!O110, "#.00")</f>
        <v>1</v>
      </c>
      <c r="P112" s="65" t="b">
        <f>TEXT(导出!P110,"#.00")=TEXT(计算!P110, "#.00")</f>
        <v>1</v>
      </c>
      <c r="Q112" s="65" t="b">
        <f>TEXT(导出!Q110,"#.00")=TEXT(计算!Q110, "#.00")</f>
        <v>1</v>
      </c>
      <c r="R112" s="65" t="b">
        <f>TEXT(导出!R110,"#.00")=TEXT(计算!R110, "#.00")</f>
        <v>1</v>
      </c>
      <c r="S112" s="65" t="b">
        <f>TEXT(导出!S110,"#.00")=TEXT(计算!S110, "#.00")</f>
        <v>1</v>
      </c>
      <c r="T112" s="65" t="b">
        <f>TEXT(导出!T110,"#.00")=TEXT(计算!T110, "#.00")</f>
        <v>1</v>
      </c>
      <c r="U112" s="65" t="b">
        <f>TEXT(导出!U110,"#.00")=TEXT(计算!U110, "#.00")</f>
        <v>1</v>
      </c>
      <c r="V112" s="65" t="b">
        <f>TEXT(导出!V110,"#.00")=TEXT(计算!V110*100, "#.00")</f>
        <v>1</v>
      </c>
      <c r="W112" s="65" t="b">
        <f>TEXT(导出!W110,"#.00")=TEXT(计算!W110, "#.00")</f>
        <v>1</v>
      </c>
      <c r="X112" s="65" t="b">
        <f>TEXT(导出!X110,"#.00")=TEXT(计算!X110, "#.00")</f>
        <v>1</v>
      </c>
      <c r="Y112" s="65" t="b">
        <f>TEXT(导出!Y110,"#.00")=TEXT(计算!Y110, "#.00")</f>
        <v>1</v>
      </c>
      <c r="Z112" s="65" t="b">
        <f>TEXT(导出!Z110,"#.00")=TEXT(计算!Z110, "#.00")</f>
        <v>1</v>
      </c>
      <c r="AA112" s="65" t="b">
        <f>TEXT(导出!AA110,"#.00")=TEXT(计算!AA110*100, "#.00")</f>
        <v>1</v>
      </c>
      <c r="AB112" s="65" t="b">
        <f>TEXT(导出!AB110,"#.00")=TEXT(计算!AB110, "#.00")</f>
        <v>1</v>
      </c>
      <c r="AC112" s="65" t="b">
        <f>TEXT(导出!AC110,"#.00")=TEXT(计算!AC110, "#.00")</f>
        <v>1</v>
      </c>
      <c r="AD112" s="65" t="b">
        <f>TEXT(导出!AD110,"#.00")=TEXT(计算!AD110, "#.00")</f>
        <v>1</v>
      </c>
      <c r="AE112" s="65" t="b">
        <f>ABS(导出!AE110-计算!AE110)&lt;10</f>
        <v>1</v>
      </c>
      <c r="AF112" s="65" t="b">
        <f>TEXT(ABS(导出!AF110),"#.00")=TEXT(ABS(计算!AF110), "#.00")</f>
        <v>1</v>
      </c>
      <c r="AG112" s="65" t="b">
        <f>TEXT(导出!AG110,"#.00")=TEXT(计算!AG110, "#.00")</f>
        <v>1</v>
      </c>
      <c r="AH112" s="65" t="b">
        <f>TEXT(导出!AH110,"#.00")=TEXT(计算!AH110, "#.00")</f>
        <v>1</v>
      </c>
      <c r="AI112">
        <v>0</v>
      </c>
      <c r="AJ112" s="3">
        <v>41912.686273148101</v>
      </c>
      <c r="AK112" s="2" t="s">
        <v>1999</v>
      </c>
    </row>
    <row r="113" spans="1:37" x14ac:dyDescent="0.15">
      <c r="A113" s="2" t="s">
        <v>1998</v>
      </c>
      <c r="B113">
        <v>904</v>
      </c>
      <c r="C113" s="3">
        <v>41496</v>
      </c>
      <c r="D113" s="2" t="s">
        <v>37</v>
      </c>
      <c r="E113" s="2" t="s">
        <v>1997</v>
      </c>
      <c r="F113" s="2" t="s">
        <v>38</v>
      </c>
      <c r="G113" s="2" t="s">
        <v>261</v>
      </c>
      <c r="H113" s="2" t="s">
        <v>262</v>
      </c>
      <c r="I113" s="65" t="b">
        <f>导出!I111=计算!I111</f>
        <v>1</v>
      </c>
      <c r="J113" s="65" t="b">
        <f>导出!J111=计算!J111</f>
        <v>1</v>
      </c>
      <c r="K113" s="65" t="b">
        <f>导出!K111=计算!K111</f>
        <v>1</v>
      </c>
      <c r="L113" s="65" t="b">
        <f>导出!L111=计算!L111</f>
        <v>1</v>
      </c>
      <c r="M113" s="65" t="b">
        <f>导出!M111=计算!M111</f>
        <v>1</v>
      </c>
      <c r="N113" s="65" t="b">
        <f>TEXT(导出!N111,"#.00")=TEXT(计算!N111, "#.00")</f>
        <v>1</v>
      </c>
      <c r="O113" s="65" t="b">
        <f>TEXT(导出!O111,"#.00")=TEXT(计算!O111, "#.00")</f>
        <v>1</v>
      </c>
      <c r="P113" s="65" t="b">
        <f>TEXT(导出!P111,"#.00")=TEXT(计算!P111, "#.00")</f>
        <v>1</v>
      </c>
      <c r="Q113" s="65" t="b">
        <f>TEXT(导出!Q111,"#.00")=TEXT(计算!Q111, "#.00")</f>
        <v>0</v>
      </c>
      <c r="R113" s="65" t="b">
        <f>TEXT(导出!R111,"#.00")=TEXT(计算!R111, "#.00")</f>
        <v>1</v>
      </c>
      <c r="S113" s="65" t="b">
        <f>TEXT(导出!S111,"#.00")=TEXT(计算!S111, "#.00")</f>
        <v>1</v>
      </c>
      <c r="T113" s="65" t="b">
        <f>TEXT(导出!T111,"#.00")=TEXT(计算!T111, "#.00")</f>
        <v>1</v>
      </c>
      <c r="U113" s="65" t="b">
        <f>TEXT(导出!U111,"#.00")=TEXT(计算!U111, "#.00")</f>
        <v>1</v>
      </c>
      <c r="V113" s="65" t="b">
        <f>TEXT(导出!V111,"#.00")=TEXT(计算!V111*100, "#.00")</f>
        <v>1</v>
      </c>
      <c r="W113" s="65" t="b">
        <f>TEXT(导出!W111,"#.00")=TEXT(计算!W111, "#.00")</f>
        <v>1</v>
      </c>
      <c r="X113" s="65" t="b">
        <f>TEXT(导出!X111,"#.00")=TEXT(计算!X111, "#.00")</f>
        <v>1</v>
      </c>
      <c r="Y113" s="65" t="b">
        <f>TEXT(导出!Y111,"#.00")=TEXT(计算!Y111, "#.00")</f>
        <v>1</v>
      </c>
      <c r="Z113" s="65" t="b">
        <f>TEXT(导出!Z111,"#.00")=TEXT(计算!Z111, "#.00")</f>
        <v>1</v>
      </c>
      <c r="AA113" s="65" t="b">
        <f>TEXT(导出!AA111,"#.00")=TEXT(计算!AA111*100, "#.00")</f>
        <v>1</v>
      </c>
      <c r="AB113" s="65" t="b">
        <f>TEXT(导出!AB111,"#.00")=TEXT(计算!AB111, "#.00")</f>
        <v>1</v>
      </c>
      <c r="AC113" s="65" t="b">
        <f>TEXT(导出!AC111,"#.00")=TEXT(计算!AC111, "#.00")</f>
        <v>1</v>
      </c>
      <c r="AD113" s="65" t="b">
        <f>TEXT(导出!AD111,"#.00")=TEXT(计算!AD111, "#.00")</f>
        <v>1</v>
      </c>
      <c r="AE113" s="65" t="b">
        <f>ABS(导出!AE111-计算!AE111)&lt;10</f>
        <v>1</v>
      </c>
      <c r="AF113" s="65" t="b">
        <f>TEXT(ABS(导出!AF111),"#.00")=TEXT(ABS(计算!AF111), "#.00")</f>
        <v>1</v>
      </c>
      <c r="AG113" s="65" t="b">
        <f>TEXT(导出!AG111,"#.00")=TEXT(计算!AG111, "#.00")</f>
        <v>1</v>
      </c>
      <c r="AH113" s="65" t="b">
        <f>TEXT(导出!AH111,"#.00")=TEXT(计算!AH111, "#.00")</f>
        <v>1</v>
      </c>
      <c r="AI113">
        <v>0</v>
      </c>
      <c r="AJ113" s="3">
        <v>41912.686273148101</v>
      </c>
      <c r="AK113" s="2" t="s">
        <v>1996</v>
      </c>
    </row>
    <row r="114" spans="1:37" x14ac:dyDescent="0.15">
      <c r="A114" s="2" t="s">
        <v>1995</v>
      </c>
      <c r="B114">
        <v>911</v>
      </c>
      <c r="C114" s="3">
        <v>41506</v>
      </c>
      <c r="D114" s="2" t="s">
        <v>37</v>
      </c>
      <c r="E114" s="2" t="s">
        <v>1994</v>
      </c>
      <c r="F114" s="2" t="s">
        <v>38</v>
      </c>
      <c r="G114" s="2" t="s">
        <v>263</v>
      </c>
      <c r="H114" s="2" t="s">
        <v>264</v>
      </c>
      <c r="I114" s="65" t="b">
        <f>导出!I112=计算!I112</f>
        <v>1</v>
      </c>
      <c r="J114" s="65" t="b">
        <f>导出!J112=计算!J112</f>
        <v>1</v>
      </c>
      <c r="K114" s="65" t="b">
        <f>导出!K112=计算!K112</f>
        <v>1</v>
      </c>
      <c r="L114" s="65" t="b">
        <f>导出!L112=计算!L112</f>
        <v>1</v>
      </c>
      <c r="M114" s="65" t="b">
        <f>导出!M112=计算!M112</f>
        <v>1</v>
      </c>
      <c r="N114" s="65" t="b">
        <f>TEXT(导出!N112,"#.00")=TEXT(计算!N112, "#.00")</f>
        <v>1</v>
      </c>
      <c r="O114" s="65" t="b">
        <f>TEXT(导出!O112,"#.00")=TEXT(计算!O112, "#.00")</f>
        <v>1</v>
      </c>
      <c r="P114" s="65" t="b">
        <f>TEXT(导出!P112,"#.00")=TEXT(计算!P112, "#.00")</f>
        <v>1</v>
      </c>
      <c r="Q114" s="65" t="b">
        <f>TEXT(导出!Q112,"#.00")=TEXT(计算!Q112, "#.00")</f>
        <v>1</v>
      </c>
      <c r="R114" s="65" t="b">
        <f>TEXT(导出!R112,"#.00")=TEXT(计算!R112, "#.00")</f>
        <v>1</v>
      </c>
      <c r="S114" s="65" t="b">
        <f>TEXT(导出!S112,"#.00")=TEXT(计算!S112, "#.00")</f>
        <v>1</v>
      </c>
      <c r="T114" s="65" t="b">
        <f>TEXT(导出!T112,"#.00")=TEXT(计算!T112, "#.00")</f>
        <v>1</v>
      </c>
      <c r="U114" s="65" t="b">
        <f>TEXT(导出!U112,"#.00")=TEXT(计算!U112, "#.00")</f>
        <v>1</v>
      </c>
      <c r="V114" s="65" t="b">
        <f>TEXT(导出!V112,"#.00")=TEXT(计算!V112*100, "#.00")</f>
        <v>1</v>
      </c>
      <c r="W114" s="65" t="b">
        <f>TEXT(导出!W112,"#.00")=TEXT(计算!W112, "#.00")</f>
        <v>1</v>
      </c>
      <c r="X114" s="65" t="b">
        <f>TEXT(导出!X112,"#.00")=TEXT(计算!X112, "#.00")</f>
        <v>1</v>
      </c>
      <c r="Y114" s="65" t="b">
        <f>TEXT(导出!Y112,"#.00")=TEXT(计算!Y112, "#.00")</f>
        <v>1</v>
      </c>
      <c r="Z114" s="65" t="b">
        <f>TEXT(导出!Z112,"#.00")=TEXT(计算!Z112, "#.00")</f>
        <v>1</v>
      </c>
      <c r="AA114" s="65" t="b">
        <f>TEXT(导出!AA112,"#.00")=TEXT(计算!AA112*100, "#.00")</f>
        <v>1</v>
      </c>
      <c r="AB114" s="65" t="b">
        <f>TEXT(导出!AB112,"#.00")=TEXT(计算!AB112, "#.00")</f>
        <v>1</v>
      </c>
      <c r="AC114" s="65" t="b">
        <f>TEXT(导出!AC112,"#.00")=TEXT(计算!AC112, "#.00")</f>
        <v>1</v>
      </c>
      <c r="AD114" s="65" t="b">
        <f>TEXT(导出!AD112,"#.00")=TEXT(计算!AD112, "#.00")</f>
        <v>1</v>
      </c>
      <c r="AE114" s="65" t="b">
        <f>ABS(导出!AE112-计算!AE112)&lt;10</f>
        <v>1</v>
      </c>
      <c r="AF114" s="65" t="b">
        <f>TEXT(ABS(导出!AF112),"#.00")=TEXT(ABS(计算!AF112), "#.00")</f>
        <v>1</v>
      </c>
      <c r="AG114" s="65" t="b">
        <f>TEXT(导出!AG112,"#.00")=TEXT(计算!AG112, "#.00")</f>
        <v>1</v>
      </c>
      <c r="AH114" s="65" t="b">
        <f>TEXT(导出!AH112,"#.00")=TEXT(计算!AH112, "#.00")</f>
        <v>1</v>
      </c>
      <c r="AI114">
        <v>0</v>
      </c>
      <c r="AJ114" s="3">
        <v>41912.686273148101</v>
      </c>
      <c r="AK114" s="2" t="s">
        <v>1993</v>
      </c>
    </row>
    <row r="115" spans="1:37" x14ac:dyDescent="0.15">
      <c r="A115" s="2" t="s">
        <v>1992</v>
      </c>
      <c r="B115">
        <v>918</v>
      </c>
      <c r="C115" s="3">
        <v>41511</v>
      </c>
      <c r="D115" s="2" t="s">
        <v>37</v>
      </c>
      <c r="E115" s="2" t="s">
        <v>1991</v>
      </c>
      <c r="F115" s="2" t="s">
        <v>38</v>
      </c>
      <c r="G115" s="2" t="s">
        <v>265</v>
      </c>
      <c r="H115" s="2" t="s">
        <v>266</v>
      </c>
      <c r="I115" s="65" t="b">
        <f>导出!I113=计算!I113</f>
        <v>1</v>
      </c>
      <c r="J115" s="65" t="b">
        <f>导出!J113=计算!J113</f>
        <v>1</v>
      </c>
      <c r="K115" s="65" t="b">
        <f>导出!K113=计算!K113</f>
        <v>1</v>
      </c>
      <c r="L115" s="65" t="b">
        <f>导出!L113=计算!L113</f>
        <v>1</v>
      </c>
      <c r="M115" s="65" t="b">
        <f>导出!M113=计算!M113</f>
        <v>1</v>
      </c>
      <c r="N115" s="65" t="b">
        <f>TEXT(导出!N113,"#.00")=TEXT(计算!N113, "#.00")</f>
        <v>1</v>
      </c>
      <c r="O115" s="65" t="b">
        <f>TEXT(导出!O113,"#.00")=TEXT(计算!O113, "#.00")</f>
        <v>1</v>
      </c>
      <c r="P115" s="65" t="b">
        <f>TEXT(导出!P113,"#.00")=TEXT(计算!P113, "#.00")</f>
        <v>1</v>
      </c>
      <c r="Q115" s="65" t="b">
        <f>TEXT(导出!Q113,"#.00")=TEXT(计算!Q113, "#.00")</f>
        <v>0</v>
      </c>
      <c r="R115" s="65" t="b">
        <f>TEXT(导出!R113,"#.00")=TEXT(计算!R113, "#.00")</f>
        <v>1</v>
      </c>
      <c r="S115" s="65" t="b">
        <f>TEXT(导出!S113,"#.00")=TEXT(计算!S113, "#.00")</f>
        <v>1</v>
      </c>
      <c r="T115" s="65" t="b">
        <f>TEXT(导出!T113,"#.00")=TEXT(计算!T113, "#.00")</f>
        <v>1</v>
      </c>
      <c r="U115" s="65" t="b">
        <f>TEXT(导出!U113,"#.00")=TEXT(计算!U113, "#.00")</f>
        <v>1</v>
      </c>
      <c r="V115" s="65" t="b">
        <f>TEXT(导出!V113,"#.00")=TEXT(计算!V113*100, "#.00")</f>
        <v>1</v>
      </c>
      <c r="W115" s="65" t="b">
        <f>TEXT(导出!W113,"#.00")=TEXT(计算!W113, "#.00")</f>
        <v>1</v>
      </c>
      <c r="X115" s="65" t="b">
        <f>TEXT(导出!X113,"#.00")=TEXT(计算!X113, "#.00")</f>
        <v>1</v>
      </c>
      <c r="Y115" s="65" t="b">
        <f>TEXT(导出!Y113,"#.00")=TEXT(计算!Y113, "#.00")</f>
        <v>1</v>
      </c>
      <c r="Z115" s="65" t="b">
        <f>TEXT(导出!Z113,"#.00")=TEXT(计算!Z113, "#.00")</f>
        <v>1</v>
      </c>
      <c r="AA115" s="65" t="b">
        <f>TEXT(导出!AA113,"#.00")=TEXT(计算!AA113*100, "#.00")</f>
        <v>1</v>
      </c>
      <c r="AB115" s="65" t="b">
        <f>TEXT(导出!AB113,"#.00")=TEXT(计算!AB113, "#.00")</f>
        <v>1</v>
      </c>
      <c r="AC115" s="65" t="b">
        <f>TEXT(导出!AC113,"#.00")=TEXT(计算!AC113, "#.00")</f>
        <v>1</v>
      </c>
      <c r="AD115" s="65" t="b">
        <f>TEXT(导出!AD113,"#.00")=TEXT(计算!AD113, "#.00")</f>
        <v>1</v>
      </c>
      <c r="AE115" s="65" t="b">
        <f>ABS(导出!AE113-计算!AE113)&lt;10</f>
        <v>1</v>
      </c>
      <c r="AF115" s="65" t="b">
        <f>TEXT(ABS(导出!AF113),"#.00")=TEXT(ABS(计算!AF113), "#.00")</f>
        <v>1</v>
      </c>
      <c r="AG115" s="65" t="b">
        <f>TEXT(导出!AG113,"#.00")=TEXT(计算!AG113, "#.00")</f>
        <v>1</v>
      </c>
      <c r="AH115" s="65" t="b">
        <f>TEXT(导出!AH113,"#.00")=TEXT(计算!AH113, "#.00")</f>
        <v>1</v>
      </c>
      <c r="AI115">
        <v>0</v>
      </c>
      <c r="AJ115" s="3">
        <v>41912.686273148101</v>
      </c>
      <c r="AK115" s="2" t="s">
        <v>1990</v>
      </c>
    </row>
    <row r="116" spans="1:37" x14ac:dyDescent="0.15">
      <c r="A116" s="2" t="s">
        <v>1989</v>
      </c>
      <c r="B116">
        <v>140</v>
      </c>
      <c r="C116" s="3">
        <v>41518</v>
      </c>
      <c r="D116" s="2" t="s">
        <v>37</v>
      </c>
      <c r="E116" s="2" t="s">
        <v>1988</v>
      </c>
      <c r="F116" s="2" t="s">
        <v>41</v>
      </c>
      <c r="G116" s="2" t="s">
        <v>267</v>
      </c>
      <c r="H116" s="2" t="s">
        <v>268</v>
      </c>
      <c r="I116" s="65" t="b">
        <f>导出!I114=计算!I114</f>
        <v>1</v>
      </c>
      <c r="J116" s="65" t="b">
        <f>导出!J114=计算!J114</f>
        <v>1</v>
      </c>
      <c r="K116" s="65" t="b">
        <f>导出!K114=计算!K114</f>
        <v>1</v>
      </c>
      <c r="L116" s="65" t="b">
        <f>导出!L114=计算!L114</f>
        <v>1</v>
      </c>
      <c r="M116" s="65" t="b">
        <f>导出!M114=计算!M114</f>
        <v>1</v>
      </c>
      <c r="N116" s="65" t="b">
        <f>TEXT(导出!N114,"#.00")=TEXT(计算!N114, "#.00")</f>
        <v>1</v>
      </c>
      <c r="O116" s="65" t="b">
        <f>TEXT(导出!O114,"#.00")=TEXT(计算!O114, "#.00")</f>
        <v>1</v>
      </c>
      <c r="P116" s="65" t="b">
        <f>TEXT(导出!P114,"#.00")=TEXT(计算!P114, "#.00")</f>
        <v>1</v>
      </c>
      <c r="Q116" s="65" t="b">
        <f>TEXT(导出!Q114,"#.00")=TEXT(计算!Q114, "#.00")</f>
        <v>1</v>
      </c>
      <c r="R116" s="65" t="b">
        <f>TEXT(导出!R114,"#.00")=TEXT(计算!R114, "#.00")</f>
        <v>1</v>
      </c>
      <c r="S116" s="65" t="b">
        <f>TEXT(导出!S114,"#.00")=TEXT(计算!S114, "#.00")</f>
        <v>1</v>
      </c>
      <c r="T116" s="65" t="b">
        <f>TEXT(导出!T114,"#.00")=TEXT(计算!T114, "#.00")</f>
        <v>1</v>
      </c>
      <c r="U116" s="65" t="b">
        <f>TEXT(导出!U114,"#.00")=TEXT(计算!U114, "#.00")</f>
        <v>1</v>
      </c>
      <c r="V116" s="65" t="b">
        <f>TEXT(导出!V114,"#.00")=TEXT(计算!V114*100, "#.00")</f>
        <v>1</v>
      </c>
      <c r="W116" s="65" t="b">
        <f>TEXT(导出!W114,"#.00")=TEXT(计算!W114, "#.00")</f>
        <v>1</v>
      </c>
      <c r="X116" s="65" t="b">
        <f>TEXT(导出!X114,"#.00")=TEXT(计算!X114, "#.00")</f>
        <v>1</v>
      </c>
      <c r="Y116" s="65" t="b">
        <f>TEXT(导出!Y114,"#.00")=TEXT(计算!Y114, "#.00")</f>
        <v>1</v>
      </c>
      <c r="Z116" s="65" t="b">
        <f>TEXT(导出!Z114,"#.00")=TEXT(计算!Z114, "#.00")</f>
        <v>1</v>
      </c>
      <c r="AA116" s="65" t="b">
        <f>TEXT(导出!AA114,"#.00")=TEXT(计算!AA114*100, "#.00")</f>
        <v>1</v>
      </c>
      <c r="AB116" s="65" t="b">
        <f>TEXT(导出!AB114,"#.00")=TEXT(计算!AB114, "#.00")</f>
        <v>1</v>
      </c>
      <c r="AC116" s="65" t="b">
        <f>TEXT(导出!AC114,"#.00")=TEXT(计算!AC114, "#.00")</f>
        <v>1</v>
      </c>
      <c r="AD116" s="65" t="b">
        <f>TEXT(导出!AD114,"#.00")=TEXT(计算!AD114, "#.00")</f>
        <v>1</v>
      </c>
      <c r="AE116" s="65" t="b">
        <f>ABS(导出!AE114-计算!AE114)&lt;10</f>
        <v>1</v>
      </c>
      <c r="AF116" s="65" t="b">
        <f>TEXT(ABS(导出!AF114),"#.00")=TEXT(ABS(计算!AF114), "#.00")</f>
        <v>1</v>
      </c>
      <c r="AG116" s="65" t="b">
        <f>TEXT(导出!AG114,"#.00")=TEXT(计算!AG114, "#.00")</f>
        <v>1</v>
      </c>
      <c r="AH116" s="65" t="b">
        <f>TEXT(导出!AH114,"#.00")=TEXT(计算!AH114, "#.00")</f>
        <v>1</v>
      </c>
      <c r="AI116">
        <v>0</v>
      </c>
      <c r="AJ116" s="3">
        <v>41912.6862384259</v>
      </c>
      <c r="AK116" s="2" t="s">
        <v>1987</v>
      </c>
    </row>
    <row r="117" spans="1:37" x14ac:dyDescent="0.15">
      <c r="A117" s="2" t="s">
        <v>1986</v>
      </c>
      <c r="B117">
        <v>927</v>
      </c>
      <c r="C117" s="3">
        <v>41519</v>
      </c>
      <c r="D117" s="2" t="s">
        <v>37</v>
      </c>
      <c r="E117" s="2" t="s">
        <v>1985</v>
      </c>
      <c r="F117" s="2" t="s">
        <v>38</v>
      </c>
      <c r="G117" s="2" t="s">
        <v>269</v>
      </c>
      <c r="H117" s="2" t="s">
        <v>270</v>
      </c>
      <c r="I117" s="65" t="b">
        <f>导出!I115=计算!I115</f>
        <v>1</v>
      </c>
      <c r="J117" s="65" t="b">
        <f>导出!J115=计算!J115</f>
        <v>1</v>
      </c>
      <c r="K117" s="65" t="b">
        <f>导出!K115=计算!K115</f>
        <v>1</v>
      </c>
      <c r="L117" s="65" t="b">
        <f>导出!L115=计算!L115</f>
        <v>1</v>
      </c>
      <c r="M117" s="65" t="b">
        <f>导出!M115=计算!M115</f>
        <v>1</v>
      </c>
      <c r="N117" s="65" t="b">
        <f>TEXT(导出!N115,"#.00")=TEXT(计算!N115, "#.00")</f>
        <v>1</v>
      </c>
      <c r="O117" s="65" t="b">
        <f>TEXT(导出!O115,"#.00")=TEXT(计算!O115, "#.00")</f>
        <v>1</v>
      </c>
      <c r="P117" s="65" t="b">
        <f>TEXT(导出!P115,"#.00")=TEXT(计算!P115, "#.00")</f>
        <v>1</v>
      </c>
      <c r="Q117" s="65" t="b">
        <f>TEXT(导出!Q115,"#.00")=TEXT(计算!Q115, "#.00")</f>
        <v>1</v>
      </c>
      <c r="R117" s="65" t="b">
        <f>TEXT(导出!R115,"#.00")=TEXT(计算!R115, "#.00")</f>
        <v>1</v>
      </c>
      <c r="S117" s="65" t="b">
        <f>TEXT(导出!S115,"#.00")=TEXT(计算!S115, "#.00")</f>
        <v>1</v>
      </c>
      <c r="T117" s="65" t="b">
        <f>TEXT(导出!T115,"#.00")=TEXT(计算!T115, "#.00")</f>
        <v>1</v>
      </c>
      <c r="U117" s="65" t="b">
        <f>TEXT(导出!U115,"#.00")=TEXT(计算!U115, "#.00")</f>
        <v>1</v>
      </c>
      <c r="V117" s="65" t="b">
        <f>TEXT(导出!V115,"#.00")=TEXT(计算!V115*100, "#.00")</f>
        <v>1</v>
      </c>
      <c r="W117" s="65" t="b">
        <f>TEXT(导出!W115,"#.00")=TEXT(计算!W115, "#.00")</f>
        <v>1</v>
      </c>
      <c r="X117" s="65" t="b">
        <f>TEXT(导出!X115,"#.00")=TEXT(计算!X115, "#.00")</f>
        <v>1</v>
      </c>
      <c r="Y117" s="65" t="b">
        <f>TEXT(导出!Y115,"#.00")=TEXT(计算!Y115, "#.00")</f>
        <v>1</v>
      </c>
      <c r="Z117" s="65" t="b">
        <f>TEXT(导出!Z115,"#.00")=TEXT(计算!Z115, "#.00")</f>
        <v>1</v>
      </c>
      <c r="AA117" s="65" t="b">
        <f>TEXT(导出!AA115,"#.00")=TEXT(计算!AA115*100, "#.00")</f>
        <v>1</v>
      </c>
      <c r="AB117" s="65" t="b">
        <f>TEXT(导出!AB115,"#.00")=TEXT(计算!AB115, "#.00")</f>
        <v>1</v>
      </c>
      <c r="AC117" s="65" t="b">
        <f>TEXT(导出!AC115,"#.00")=TEXT(计算!AC115, "#.00")</f>
        <v>1</v>
      </c>
      <c r="AD117" s="65" t="b">
        <f>TEXT(导出!AD115,"#.00")=TEXT(计算!AD115, "#.00")</f>
        <v>1</v>
      </c>
      <c r="AE117" s="65" t="b">
        <f>ABS(导出!AE115-计算!AE115)&lt;10</f>
        <v>1</v>
      </c>
      <c r="AF117" s="65" t="b">
        <f>TEXT(ABS(导出!AF115),"#.00")=TEXT(ABS(计算!AF115), "#.00")</f>
        <v>1</v>
      </c>
      <c r="AG117" s="65" t="b">
        <f>TEXT(导出!AG115,"#.00")=TEXT(计算!AG115, "#.00")</f>
        <v>1</v>
      </c>
      <c r="AH117" s="65" t="b">
        <f>TEXT(导出!AH115,"#.00")=TEXT(计算!AH115, "#.00")</f>
        <v>1</v>
      </c>
      <c r="AI117">
        <v>0</v>
      </c>
      <c r="AJ117" s="3">
        <v>41912.686273148101</v>
      </c>
      <c r="AK117" s="2" t="s">
        <v>1984</v>
      </c>
    </row>
    <row r="118" spans="1:37" x14ac:dyDescent="0.15">
      <c r="A118" s="2" t="s">
        <v>1983</v>
      </c>
      <c r="B118">
        <v>934</v>
      </c>
      <c r="C118" s="3">
        <v>41522</v>
      </c>
      <c r="D118" s="2" t="s">
        <v>37</v>
      </c>
      <c r="E118" s="2" t="s">
        <v>1982</v>
      </c>
      <c r="F118" s="2" t="s">
        <v>38</v>
      </c>
      <c r="G118" s="2" t="s">
        <v>271</v>
      </c>
      <c r="H118" s="2" t="s">
        <v>272</v>
      </c>
      <c r="I118" s="65" t="b">
        <f>导出!I116=计算!I116</f>
        <v>1</v>
      </c>
      <c r="J118" s="65" t="b">
        <f>导出!J116=计算!J116</f>
        <v>1</v>
      </c>
      <c r="K118" s="65" t="b">
        <f>导出!K116=计算!K116</f>
        <v>1</v>
      </c>
      <c r="L118" s="65" t="b">
        <f>导出!L116=计算!L116</f>
        <v>1</v>
      </c>
      <c r="M118" s="65" t="b">
        <f>导出!M116=计算!M116</f>
        <v>1</v>
      </c>
      <c r="N118" s="65" t="b">
        <f>TEXT(导出!N116,"#.00")=TEXT(计算!N116, "#.00")</f>
        <v>1</v>
      </c>
      <c r="O118" s="65" t="b">
        <f>TEXT(导出!O116,"#.00")=TEXT(计算!O116, "#.00")</f>
        <v>1</v>
      </c>
      <c r="P118" s="65" t="b">
        <f>TEXT(导出!P116,"#.00")=TEXT(计算!P116, "#.00")</f>
        <v>1</v>
      </c>
      <c r="Q118" s="65" t="b">
        <f>TEXT(导出!Q116,"#.00")=TEXT(计算!Q116, "#.00")</f>
        <v>1</v>
      </c>
      <c r="R118" s="65" t="b">
        <f>TEXT(导出!R116,"#.00")=TEXT(计算!R116, "#.00")</f>
        <v>1</v>
      </c>
      <c r="S118" s="65" t="b">
        <f>TEXT(导出!S116,"#.00")=TEXT(计算!S116, "#.00")</f>
        <v>1</v>
      </c>
      <c r="T118" s="65" t="b">
        <f>TEXT(导出!T116,"#.00")=TEXT(计算!T116, "#.00")</f>
        <v>1</v>
      </c>
      <c r="U118" s="65" t="b">
        <f>TEXT(导出!U116,"#.00")=TEXT(计算!U116, "#.00")</f>
        <v>1</v>
      </c>
      <c r="V118" s="65" t="b">
        <f>TEXT(导出!V116,"#.00")=TEXT(计算!V116*100, "#.00")</f>
        <v>1</v>
      </c>
      <c r="W118" s="65" t="b">
        <f>TEXT(导出!W116,"#.00")=TEXT(计算!W116, "#.00")</f>
        <v>1</v>
      </c>
      <c r="X118" s="65" t="b">
        <f>TEXT(导出!X116,"#.00")=TEXT(计算!X116, "#.00")</f>
        <v>1</v>
      </c>
      <c r="Y118" s="65" t="b">
        <f>TEXT(导出!Y116,"#.00")=TEXT(计算!Y116, "#.00")</f>
        <v>1</v>
      </c>
      <c r="Z118" s="65" t="b">
        <f>TEXT(导出!Z116,"#.00")=TEXT(计算!Z116, "#.00")</f>
        <v>1</v>
      </c>
      <c r="AA118" s="65" t="b">
        <f>TEXT(导出!AA116,"#.00")=TEXT(计算!AA116*100, "#.00")</f>
        <v>1</v>
      </c>
      <c r="AB118" s="65" t="b">
        <f>TEXT(导出!AB116,"#.00")=TEXT(计算!AB116, "#.00")</f>
        <v>1</v>
      </c>
      <c r="AC118" s="65" t="b">
        <f>TEXT(导出!AC116,"#.00")=TEXT(计算!AC116, "#.00")</f>
        <v>1</v>
      </c>
      <c r="AD118" s="65" t="b">
        <f>TEXT(导出!AD116,"#.00")=TEXT(计算!AD116, "#.00")</f>
        <v>1</v>
      </c>
      <c r="AE118" s="65" t="b">
        <f>ABS(导出!AE116-计算!AE116)&lt;10</f>
        <v>1</v>
      </c>
      <c r="AF118" s="65" t="b">
        <f>TEXT(ABS(导出!AF116),"#.00")=TEXT(ABS(计算!AF116), "#.00")</f>
        <v>1</v>
      </c>
      <c r="AG118" s="65" t="b">
        <f>TEXT(导出!AG116,"#.00")=TEXT(计算!AG116, "#.00")</f>
        <v>1</v>
      </c>
      <c r="AH118" s="65" t="b">
        <f>TEXT(导出!AH116,"#.00")=TEXT(计算!AH116, "#.00")</f>
        <v>1</v>
      </c>
      <c r="AI118">
        <v>0</v>
      </c>
      <c r="AJ118" s="3">
        <v>41912.686273148101</v>
      </c>
      <c r="AK118" s="2" t="s">
        <v>1981</v>
      </c>
    </row>
    <row r="119" spans="1:37" x14ac:dyDescent="0.15">
      <c r="A119" s="2" t="s">
        <v>1980</v>
      </c>
      <c r="B119">
        <v>946</v>
      </c>
      <c r="C119" s="3">
        <v>41532</v>
      </c>
      <c r="D119" s="2" t="s">
        <v>37</v>
      </c>
      <c r="E119" s="2" t="s">
        <v>1979</v>
      </c>
      <c r="F119" s="2" t="s">
        <v>38</v>
      </c>
      <c r="G119" s="2" t="s">
        <v>273</v>
      </c>
      <c r="H119" s="2" t="s">
        <v>274</v>
      </c>
      <c r="I119" s="65" t="b">
        <f>导出!I117=计算!I117</f>
        <v>1</v>
      </c>
      <c r="J119" s="65" t="b">
        <f>导出!J117=计算!J117</f>
        <v>1</v>
      </c>
      <c r="K119" s="65" t="b">
        <f>导出!K117=计算!K117</f>
        <v>1</v>
      </c>
      <c r="L119" s="65" t="b">
        <f>导出!L117=计算!L117</f>
        <v>1</v>
      </c>
      <c r="M119" s="65" t="b">
        <f>导出!M117=计算!M117</f>
        <v>1</v>
      </c>
      <c r="N119" s="65" t="b">
        <f>TEXT(导出!N117,"#.00")=TEXT(计算!N117, "#.00")</f>
        <v>1</v>
      </c>
      <c r="O119" s="65" t="b">
        <f>TEXT(导出!O117,"#.00")=TEXT(计算!O117, "#.00")</f>
        <v>1</v>
      </c>
      <c r="P119" s="65" t="b">
        <f>TEXT(导出!P117,"#.00")=TEXT(计算!P117, "#.00")</f>
        <v>1</v>
      </c>
      <c r="Q119" s="65" t="b">
        <f>TEXT(导出!Q117,"#.00")=TEXT(计算!Q117, "#.00")</f>
        <v>1</v>
      </c>
      <c r="R119" s="65" t="b">
        <f>TEXT(导出!R117,"#.00")=TEXT(计算!R117, "#.00")</f>
        <v>1</v>
      </c>
      <c r="S119" s="65" t="b">
        <f>TEXT(导出!S117,"#.00")=TEXT(计算!S117, "#.00")</f>
        <v>1</v>
      </c>
      <c r="T119" s="65" t="b">
        <f>TEXT(导出!T117,"#.00")=TEXT(计算!T117, "#.00")</f>
        <v>1</v>
      </c>
      <c r="U119" s="65" t="b">
        <f>TEXT(导出!U117,"#.00")=TEXT(计算!U117, "#.00")</f>
        <v>1</v>
      </c>
      <c r="V119" s="65" t="b">
        <f>TEXT(导出!V117,"#.00")=TEXT(计算!V117*100, "#.00")</f>
        <v>1</v>
      </c>
      <c r="W119" s="65" t="b">
        <f>TEXT(导出!W117,"#.00")=TEXT(计算!W117, "#.00")</f>
        <v>1</v>
      </c>
      <c r="X119" s="65" t="b">
        <f>TEXT(导出!X117,"#.00")=TEXT(计算!X117, "#.00")</f>
        <v>1</v>
      </c>
      <c r="Y119" s="65" t="b">
        <f>TEXT(导出!Y117,"#.00")=TEXT(计算!Y117, "#.00")</f>
        <v>1</v>
      </c>
      <c r="Z119" s="65" t="b">
        <f>TEXT(导出!Z117,"#.00")=TEXT(计算!Z117, "#.00")</f>
        <v>1</v>
      </c>
      <c r="AA119" s="65" t="b">
        <f>TEXT(导出!AA117,"#.00")=TEXT(计算!AA117*100, "#.00")</f>
        <v>1</v>
      </c>
      <c r="AB119" s="65" t="b">
        <f>TEXT(导出!AB117,"#.00")=TEXT(计算!AB117, "#.00")</f>
        <v>1</v>
      </c>
      <c r="AC119" s="65" t="b">
        <f>TEXT(导出!AC117,"#.00")=TEXT(计算!AC117, "#.00")</f>
        <v>1</v>
      </c>
      <c r="AD119" s="65" t="b">
        <f>TEXT(导出!AD117,"#.00")=TEXT(计算!AD117, "#.00")</f>
        <v>1</v>
      </c>
      <c r="AE119" s="65" t="b">
        <f>ABS(导出!AE117-计算!AE117)&lt;10</f>
        <v>1</v>
      </c>
      <c r="AF119" s="65" t="b">
        <f>TEXT(ABS(导出!AF117),"#.00")=TEXT(ABS(计算!AF117), "#.00")</f>
        <v>1</v>
      </c>
      <c r="AG119" s="65" t="b">
        <f>TEXT(导出!AG117,"#.00")=TEXT(计算!AG117, "#.00")</f>
        <v>1</v>
      </c>
      <c r="AH119" s="65" t="b">
        <f>TEXT(导出!AH117,"#.00")=TEXT(计算!AH117, "#.00")</f>
        <v>1</v>
      </c>
      <c r="AI119">
        <v>0</v>
      </c>
      <c r="AJ119" s="3">
        <v>41912.686273148101</v>
      </c>
      <c r="AK119" s="2" t="s">
        <v>1978</v>
      </c>
    </row>
    <row r="120" spans="1:37" x14ac:dyDescent="0.15">
      <c r="A120" s="2" t="s">
        <v>1977</v>
      </c>
      <c r="B120">
        <v>953</v>
      </c>
      <c r="C120" s="3">
        <v>41535</v>
      </c>
      <c r="D120" s="2" t="s">
        <v>37</v>
      </c>
      <c r="E120" s="2" t="s">
        <v>1976</v>
      </c>
      <c r="F120" s="2" t="s">
        <v>38</v>
      </c>
      <c r="G120" s="2" t="s">
        <v>275</v>
      </c>
      <c r="H120" s="2" t="s">
        <v>276</v>
      </c>
      <c r="I120" s="65" t="b">
        <f>导出!I118=计算!I118</f>
        <v>1</v>
      </c>
      <c r="J120" s="65" t="b">
        <f>导出!J118=计算!J118</f>
        <v>1</v>
      </c>
      <c r="K120" s="65" t="b">
        <f>导出!K118=计算!K118</f>
        <v>1</v>
      </c>
      <c r="L120" s="65" t="b">
        <f>导出!L118=计算!L118</f>
        <v>1</v>
      </c>
      <c r="M120" s="65" t="b">
        <f>导出!M118=计算!M118</f>
        <v>1</v>
      </c>
      <c r="N120" s="65" t="b">
        <f>TEXT(导出!N118,"#.00")=TEXT(计算!N118, "#.00")</f>
        <v>1</v>
      </c>
      <c r="O120" s="65" t="b">
        <f>TEXT(导出!O118,"#.00")=TEXT(计算!O118, "#.00")</f>
        <v>1</v>
      </c>
      <c r="P120" s="65" t="b">
        <f>TEXT(导出!P118,"#.00")=TEXT(计算!P118, "#.00")</f>
        <v>1</v>
      </c>
      <c r="Q120" s="65" t="b">
        <f>TEXT(导出!Q118,"#.00")=TEXT(计算!Q118, "#.00")</f>
        <v>0</v>
      </c>
      <c r="R120" s="65" t="b">
        <f>TEXT(导出!R118,"#.00")=TEXT(计算!R118, "#.00")</f>
        <v>1</v>
      </c>
      <c r="S120" s="65" t="b">
        <f>TEXT(导出!S118,"#.00")=TEXT(计算!S118, "#.00")</f>
        <v>1</v>
      </c>
      <c r="T120" s="65" t="b">
        <f>TEXT(导出!T118,"#.00")=TEXT(计算!T118, "#.00")</f>
        <v>1</v>
      </c>
      <c r="U120" s="65" t="b">
        <f>TEXT(导出!U118,"#.00")=TEXT(计算!U118, "#.00")</f>
        <v>1</v>
      </c>
      <c r="V120" s="65" t="b">
        <f>TEXT(导出!V118,"#.00")=TEXT(计算!V118*100, "#.00")</f>
        <v>1</v>
      </c>
      <c r="W120" s="65" t="b">
        <f>TEXT(导出!W118,"#.00")=TEXT(计算!W118, "#.00")</f>
        <v>1</v>
      </c>
      <c r="X120" s="65" t="b">
        <f>TEXT(导出!X118,"#.00")=TEXT(计算!X118, "#.00")</f>
        <v>1</v>
      </c>
      <c r="Y120" s="65" t="b">
        <f>TEXT(导出!Y118,"#.00")=TEXT(计算!Y118, "#.00")</f>
        <v>1</v>
      </c>
      <c r="Z120" s="65" t="b">
        <f>TEXT(导出!Z118,"#.00")=TEXT(计算!Z118, "#.00")</f>
        <v>1</v>
      </c>
      <c r="AA120" s="65" t="b">
        <f>TEXT(导出!AA118,"#.00")=TEXT(计算!AA118*100, "#.00")</f>
        <v>1</v>
      </c>
      <c r="AB120" s="65" t="b">
        <f>TEXT(导出!AB118,"#.00")=TEXT(计算!AB118, "#.00")</f>
        <v>1</v>
      </c>
      <c r="AC120" s="65" t="b">
        <f>TEXT(导出!AC118,"#.00")=TEXT(计算!AC118, "#.00")</f>
        <v>1</v>
      </c>
      <c r="AD120" s="65" t="b">
        <f>TEXT(导出!AD118,"#.00")=TEXT(计算!AD118, "#.00")</f>
        <v>1</v>
      </c>
      <c r="AE120" s="65" t="b">
        <f>ABS(导出!AE118-计算!AE118)&lt;10</f>
        <v>1</v>
      </c>
      <c r="AF120" s="65" t="b">
        <f>TEXT(ABS(导出!AF118),"#.00")=TEXT(ABS(计算!AF118), "#.00")</f>
        <v>1</v>
      </c>
      <c r="AG120" s="65" t="b">
        <f>TEXT(导出!AG118,"#.00")=TEXT(计算!AG118, "#.00")</f>
        <v>1</v>
      </c>
      <c r="AH120" s="65" t="b">
        <f>TEXT(导出!AH118,"#.00")=TEXT(计算!AH118, "#.00")</f>
        <v>1</v>
      </c>
      <c r="AI120">
        <v>0</v>
      </c>
      <c r="AJ120" s="3">
        <v>41912.686273148101</v>
      </c>
      <c r="AK120" s="2" t="s">
        <v>1975</v>
      </c>
    </row>
    <row r="121" spans="1:37" x14ac:dyDescent="0.15">
      <c r="A121" s="2" t="s">
        <v>1974</v>
      </c>
      <c r="B121">
        <v>146</v>
      </c>
      <c r="C121" s="3">
        <v>41548</v>
      </c>
      <c r="D121" s="2" t="s">
        <v>37</v>
      </c>
      <c r="E121" s="2" t="s">
        <v>1973</v>
      </c>
      <c r="F121" s="2" t="s">
        <v>41</v>
      </c>
      <c r="G121" s="2" t="s">
        <v>277</v>
      </c>
      <c r="H121" s="2" t="s">
        <v>278</v>
      </c>
      <c r="I121" s="65" t="b">
        <f>导出!I119=计算!I119</f>
        <v>1</v>
      </c>
      <c r="J121" s="65" t="b">
        <f>导出!J119=计算!J119</f>
        <v>1</v>
      </c>
      <c r="K121" s="65" t="b">
        <f>导出!K119=计算!K119</f>
        <v>1</v>
      </c>
      <c r="L121" s="65" t="b">
        <f>导出!L119=计算!L119</f>
        <v>1</v>
      </c>
      <c r="M121" s="65" t="b">
        <f>导出!M119=计算!M119</f>
        <v>1</v>
      </c>
      <c r="N121" s="65" t="b">
        <f>TEXT(导出!N119,"#.00")=TEXT(计算!N119, "#.00")</f>
        <v>1</v>
      </c>
      <c r="O121" s="65" t="b">
        <f>TEXT(导出!O119,"#.00")=TEXT(计算!O119, "#.00")</f>
        <v>1</v>
      </c>
      <c r="P121" s="65" t="b">
        <f>TEXT(导出!P119,"#.00")=TEXT(计算!P119, "#.00")</f>
        <v>1</v>
      </c>
      <c r="Q121" s="65" t="b">
        <f>TEXT(导出!Q119,"#.00")=TEXT(计算!Q119, "#.00")</f>
        <v>1</v>
      </c>
      <c r="R121" s="65" t="b">
        <f>TEXT(导出!R119,"#.00")=TEXT(计算!R119, "#.00")</f>
        <v>1</v>
      </c>
      <c r="S121" s="65" t="b">
        <f>TEXT(导出!S119,"#.00")=TEXT(计算!S119, "#.00")</f>
        <v>1</v>
      </c>
      <c r="T121" s="65" t="b">
        <f>TEXT(导出!T119,"#.00")=TEXT(计算!T119, "#.00")</f>
        <v>1</v>
      </c>
      <c r="U121" s="65" t="b">
        <f>TEXT(导出!U119,"#.00")=TEXT(计算!U119, "#.00")</f>
        <v>1</v>
      </c>
      <c r="V121" s="65" t="b">
        <f>TEXT(导出!V119,"#.00")=TEXT(计算!V119*100, "#.00")</f>
        <v>1</v>
      </c>
      <c r="W121" s="65" t="b">
        <f>TEXT(导出!W119,"#.00")=TEXT(计算!W119, "#.00")</f>
        <v>1</v>
      </c>
      <c r="X121" s="65" t="b">
        <f>TEXT(导出!X119,"#.00")=TEXT(计算!X119, "#.00")</f>
        <v>1</v>
      </c>
      <c r="Y121" s="65" t="b">
        <f>TEXT(导出!Y119,"#.00")=TEXT(计算!Y119, "#.00")</f>
        <v>1</v>
      </c>
      <c r="Z121" s="65" t="b">
        <f>TEXT(导出!Z119,"#.00")=TEXT(计算!Z119, "#.00")</f>
        <v>1</v>
      </c>
      <c r="AA121" s="65" t="b">
        <f>TEXT(导出!AA119,"#.00")=TEXT(计算!AA119*100, "#.00")</f>
        <v>1</v>
      </c>
      <c r="AB121" s="65" t="b">
        <f>TEXT(导出!AB119,"#.00")=TEXT(计算!AB119, "#.00")</f>
        <v>1</v>
      </c>
      <c r="AC121" s="65" t="b">
        <f>TEXT(导出!AC119,"#.00")=TEXT(计算!AC119, "#.00")</f>
        <v>1</v>
      </c>
      <c r="AD121" s="65" t="b">
        <f>TEXT(导出!AD119,"#.00")=TEXT(计算!AD119, "#.00")</f>
        <v>1</v>
      </c>
      <c r="AE121" s="65" t="b">
        <f>ABS(导出!AE119-计算!AE119)&lt;10</f>
        <v>1</v>
      </c>
      <c r="AF121" s="65" t="b">
        <f>TEXT(ABS(导出!AF119),"#.00")=TEXT(ABS(计算!AF119), "#.00")</f>
        <v>1</v>
      </c>
      <c r="AG121" s="65" t="b">
        <f>TEXT(导出!AG119,"#.00")=TEXT(计算!AG119, "#.00")</f>
        <v>1</v>
      </c>
      <c r="AH121" s="65" t="b">
        <f>TEXT(导出!AH119,"#.00")=TEXT(计算!AH119, "#.00")</f>
        <v>1</v>
      </c>
      <c r="AI121">
        <v>0</v>
      </c>
      <c r="AJ121" s="3">
        <v>41912.6862384259</v>
      </c>
      <c r="AK121" s="2" t="s">
        <v>1972</v>
      </c>
    </row>
    <row r="122" spans="1:37" x14ac:dyDescent="0.15">
      <c r="A122" s="2" t="s">
        <v>1971</v>
      </c>
      <c r="B122">
        <v>987</v>
      </c>
      <c r="C122" s="3">
        <v>41552</v>
      </c>
      <c r="D122" s="2" t="s">
        <v>37</v>
      </c>
      <c r="E122" s="2" t="s">
        <v>1970</v>
      </c>
      <c r="F122" s="2" t="s">
        <v>38</v>
      </c>
      <c r="G122" s="2" t="s">
        <v>279</v>
      </c>
      <c r="H122" s="2" t="s">
        <v>280</v>
      </c>
      <c r="I122" s="65" t="b">
        <f>导出!I120=计算!I120</f>
        <v>1</v>
      </c>
      <c r="J122" s="65" t="b">
        <f>导出!J120=计算!J120</f>
        <v>1</v>
      </c>
      <c r="K122" s="65" t="b">
        <f>导出!K120=计算!K120</f>
        <v>1</v>
      </c>
      <c r="L122" s="65" t="b">
        <f>导出!L120=计算!L120</f>
        <v>1</v>
      </c>
      <c r="M122" s="65" t="b">
        <f>导出!M120=计算!M120</f>
        <v>1</v>
      </c>
      <c r="N122" s="65" t="b">
        <f>TEXT(导出!N120,"#.00")=TEXT(计算!N120, "#.00")</f>
        <v>1</v>
      </c>
      <c r="O122" s="65" t="b">
        <f>TEXT(导出!O120,"#.00")=TEXT(计算!O120, "#.00")</f>
        <v>1</v>
      </c>
      <c r="P122" s="65" t="b">
        <f>TEXT(导出!P120,"#.00")=TEXT(计算!P120, "#.00")</f>
        <v>1</v>
      </c>
      <c r="Q122" s="65" t="b">
        <f>TEXT(导出!Q120,"#.00")=TEXT(计算!Q120, "#.00")</f>
        <v>1</v>
      </c>
      <c r="R122" s="65" t="b">
        <f>TEXT(导出!R120,"#.00")=TEXT(计算!R120, "#.00")</f>
        <v>1</v>
      </c>
      <c r="S122" s="65" t="b">
        <f>TEXT(导出!S120,"#.00")=TEXT(计算!S120, "#.00")</f>
        <v>1</v>
      </c>
      <c r="T122" s="65" t="b">
        <f>TEXT(导出!T120,"#.00")=TEXT(计算!T120, "#.00")</f>
        <v>1</v>
      </c>
      <c r="U122" s="65" t="b">
        <f>TEXT(导出!U120,"#.00")=TEXT(计算!U120, "#.00")</f>
        <v>1</v>
      </c>
      <c r="V122" s="65" t="b">
        <f>TEXT(导出!V120,"#.00")=TEXT(计算!V120*100, "#.00")</f>
        <v>1</v>
      </c>
      <c r="W122" s="65" t="b">
        <f>TEXT(导出!W120,"#.00")=TEXT(计算!W120, "#.00")</f>
        <v>1</v>
      </c>
      <c r="X122" s="65" t="b">
        <f>TEXT(导出!X120,"#.00")=TEXT(计算!X120, "#.00")</f>
        <v>1</v>
      </c>
      <c r="Y122" s="65" t="b">
        <f>TEXT(导出!Y120,"#.00")=TEXT(计算!Y120, "#.00")</f>
        <v>1</v>
      </c>
      <c r="Z122" s="65" t="b">
        <f>TEXT(导出!Z120,"#.00")=TEXT(计算!Z120, "#.00")</f>
        <v>1</v>
      </c>
      <c r="AA122" s="65" t="b">
        <f>TEXT(导出!AA120,"#.00")=TEXT(计算!AA120*100, "#.00")</f>
        <v>1</v>
      </c>
      <c r="AB122" s="65" t="b">
        <f>TEXT(导出!AB120,"#.00")=TEXT(计算!AB120, "#.00")</f>
        <v>1</v>
      </c>
      <c r="AC122" s="65" t="b">
        <f>TEXT(导出!AC120,"#.00")=TEXT(计算!AC120, "#.00")</f>
        <v>1</v>
      </c>
      <c r="AD122" s="65" t="b">
        <f>TEXT(导出!AD120,"#.00")=TEXT(计算!AD120, "#.00")</f>
        <v>1</v>
      </c>
      <c r="AE122" s="65" t="b">
        <f>ABS(导出!AE120-计算!AE120)&lt;10</f>
        <v>1</v>
      </c>
      <c r="AF122" s="65" t="b">
        <f>TEXT(ABS(导出!AF120),"#.00")=TEXT(ABS(计算!AF120), "#.00")</f>
        <v>1</v>
      </c>
      <c r="AG122" s="65" t="b">
        <f>TEXT(导出!AG120,"#.00")=TEXT(计算!AG120, "#.00")</f>
        <v>1</v>
      </c>
      <c r="AH122" s="65" t="b">
        <f>TEXT(导出!AH120,"#.00")=TEXT(计算!AH120, "#.00")</f>
        <v>1</v>
      </c>
      <c r="AI122">
        <v>0</v>
      </c>
      <c r="AJ122" s="3">
        <v>41912.686273148101</v>
      </c>
      <c r="AK122" s="2" t="s">
        <v>1969</v>
      </c>
    </row>
    <row r="123" spans="1:37" x14ac:dyDescent="0.15">
      <c r="A123" s="2" t="s">
        <v>1968</v>
      </c>
      <c r="B123">
        <v>961</v>
      </c>
      <c r="C123" s="3">
        <v>41557</v>
      </c>
      <c r="D123" s="2" t="s">
        <v>37</v>
      </c>
      <c r="E123" s="2" t="s">
        <v>1967</v>
      </c>
      <c r="F123" s="2" t="s">
        <v>38</v>
      </c>
      <c r="G123" s="2" t="s">
        <v>281</v>
      </c>
      <c r="H123" s="2" t="s">
        <v>282</v>
      </c>
      <c r="I123" s="65" t="b">
        <f>导出!I121=计算!I121</f>
        <v>1</v>
      </c>
      <c r="J123" s="65" t="b">
        <f>导出!J121=计算!J121</f>
        <v>1</v>
      </c>
      <c r="K123" s="65" t="b">
        <f>导出!K121=计算!K121</f>
        <v>1</v>
      </c>
      <c r="L123" s="65" t="b">
        <f>导出!L121=计算!L121</f>
        <v>1</v>
      </c>
      <c r="M123" s="65" t="b">
        <f>导出!M121=计算!M121</f>
        <v>1</v>
      </c>
      <c r="N123" s="65" t="b">
        <f>TEXT(导出!N121,"#.00")=TEXT(计算!N121, "#.00")</f>
        <v>1</v>
      </c>
      <c r="O123" s="65" t="b">
        <f>TEXT(导出!O121,"#.00")=TEXT(计算!O121, "#.00")</f>
        <v>1</v>
      </c>
      <c r="P123" s="65" t="b">
        <f>TEXT(导出!P121,"#.00")=TEXT(计算!P121, "#.00")</f>
        <v>1</v>
      </c>
      <c r="Q123" s="65" t="b">
        <f>TEXT(导出!Q121,"#.00")=TEXT(计算!Q121, "#.00")</f>
        <v>1</v>
      </c>
      <c r="R123" s="65" t="b">
        <f>TEXT(导出!R121,"#.00")=TEXT(计算!R121, "#.00")</f>
        <v>1</v>
      </c>
      <c r="S123" s="65" t="b">
        <f>TEXT(导出!S121,"#.00")=TEXT(计算!S121, "#.00")</f>
        <v>1</v>
      </c>
      <c r="T123" s="65" t="b">
        <f>TEXT(导出!T121,"#.00")=TEXT(计算!T121, "#.00")</f>
        <v>1</v>
      </c>
      <c r="U123" s="65" t="b">
        <f>TEXT(导出!U121,"#.00")=TEXT(计算!U121, "#.00")</f>
        <v>1</v>
      </c>
      <c r="V123" s="65" t="b">
        <f>TEXT(导出!V121,"#.00")=TEXT(计算!V121*100, "#.00")</f>
        <v>1</v>
      </c>
      <c r="W123" s="65" t="b">
        <f>TEXT(导出!W121,"#.00")=TEXT(计算!W121, "#.00")</f>
        <v>1</v>
      </c>
      <c r="X123" s="65" t="b">
        <f>TEXT(导出!X121,"#.00")=TEXT(计算!X121, "#.00")</f>
        <v>1</v>
      </c>
      <c r="Y123" s="65" t="b">
        <f>TEXT(导出!Y121,"#.00")=TEXT(计算!Y121, "#.00")</f>
        <v>1</v>
      </c>
      <c r="Z123" s="65" t="b">
        <f>TEXT(导出!Z121,"#.00")=TEXT(计算!Z121, "#.00")</f>
        <v>1</v>
      </c>
      <c r="AA123" s="65" t="b">
        <f>TEXT(导出!AA121,"#.00")=TEXT(计算!AA121*100, "#.00")</f>
        <v>1</v>
      </c>
      <c r="AB123" s="65" t="b">
        <f>TEXT(导出!AB121,"#.00")=TEXT(计算!AB121, "#.00")</f>
        <v>1</v>
      </c>
      <c r="AC123" s="65" t="b">
        <f>TEXT(导出!AC121,"#.00")=TEXT(计算!AC121, "#.00")</f>
        <v>1</v>
      </c>
      <c r="AD123" s="65" t="b">
        <f>TEXT(导出!AD121,"#.00")=TEXT(计算!AD121, "#.00")</f>
        <v>1</v>
      </c>
      <c r="AE123" s="65" t="b">
        <f>ABS(导出!AE121-计算!AE121)&lt;10</f>
        <v>0</v>
      </c>
      <c r="AF123" s="65" t="b">
        <f>TEXT(ABS(导出!AF121),"#.00")=TEXT(ABS(计算!AF121), "#.00")</f>
        <v>1</v>
      </c>
      <c r="AG123" s="65" t="b">
        <f>TEXT(导出!AG121,"#.00")=TEXT(计算!AG121, "#.00")</f>
        <v>1</v>
      </c>
      <c r="AH123" s="65" t="b">
        <f>TEXT(导出!AH121,"#.00")=TEXT(计算!AH121, "#.00")</f>
        <v>1</v>
      </c>
      <c r="AI123">
        <v>0</v>
      </c>
      <c r="AJ123" s="3">
        <v>41912.686273148101</v>
      </c>
      <c r="AK123" s="2" t="s">
        <v>1966</v>
      </c>
    </row>
    <row r="124" spans="1:37" x14ac:dyDescent="0.15">
      <c r="A124" s="2" t="s">
        <v>1965</v>
      </c>
      <c r="B124">
        <v>969</v>
      </c>
      <c r="C124" s="3">
        <v>41562</v>
      </c>
      <c r="D124" s="2" t="s">
        <v>37</v>
      </c>
      <c r="E124" s="2" t="s">
        <v>1964</v>
      </c>
      <c r="F124" s="2" t="s">
        <v>38</v>
      </c>
      <c r="G124" s="2" t="s">
        <v>283</v>
      </c>
      <c r="H124" s="2" t="s">
        <v>284</v>
      </c>
      <c r="I124" s="65" t="b">
        <f>导出!I122=计算!I122</f>
        <v>1</v>
      </c>
      <c r="J124" s="65" t="b">
        <f>导出!J122=计算!J122</f>
        <v>1</v>
      </c>
      <c r="K124" s="65" t="b">
        <f>导出!K122=计算!K122</f>
        <v>1</v>
      </c>
      <c r="L124" s="65" t="b">
        <f>导出!L122=计算!L122</f>
        <v>1</v>
      </c>
      <c r="M124" s="65" t="b">
        <f>导出!M122=计算!M122</f>
        <v>1</v>
      </c>
      <c r="N124" s="65" t="b">
        <f>TEXT(导出!N122,"#.00")=TEXT(计算!N122, "#.00")</f>
        <v>1</v>
      </c>
      <c r="O124" s="65" t="b">
        <f>TEXT(导出!O122,"#.00")=TEXT(计算!O122, "#.00")</f>
        <v>1</v>
      </c>
      <c r="P124" s="65" t="b">
        <f>TEXT(导出!P122,"#.00")=TEXT(计算!P122, "#.00")</f>
        <v>1</v>
      </c>
      <c r="Q124" s="65" t="b">
        <f>TEXT(导出!Q122,"#.00")=TEXT(计算!Q122, "#.00")</f>
        <v>0</v>
      </c>
      <c r="R124" s="65" t="b">
        <f>TEXT(导出!R122,"#.00")=TEXT(计算!R122, "#.00")</f>
        <v>1</v>
      </c>
      <c r="S124" s="65" t="b">
        <f>TEXT(导出!S122,"#.00")=TEXT(计算!S122, "#.00")</f>
        <v>1</v>
      </c>
      <c r="T124" s="65" t="b">
        <f>TEXT(导出!T122,"#.00")=TEXT(计算!T122, "#.00")</f>
        <v>1</v>
      </c>
      <c r="U124" s="65" t="b">
        <f>TEXT(导出!U122,"#.00")=TEXT(计算!U122, "#.00")</f>
        <v>1</v>
      </c>
      <c r="V124" s="65" t="b">
        <f>TEXT(导出!V122,"#.00")=TEXT(计算!V122*100, "#.00")</f>
        <v>1</v>
      </c>
      <c r="W124" s="65" t="b">
        <f>TEXT(导出!W122,"#.00")=TEXT(计算!W122, "#.00")</f>
        <v>1</v>
      </c>
      <c r="X124" s="65" t="b">
        <f>TEXT(导出!X122,"#.00")=TEXT(计算!X122, "#.00")</f>
        <v>1</v>
      </c>
      <c r="Y124" s="65" t="b">
        <f>TEXT(导出!Y122,"#.00")=TEXT(计算!Y122, "#.00")</f>
        <v>1</v>
      </c>
      <c r="Z124" s="65" t="b">
        <f>TEXT(导出!Z122,"#.00")=TEXT(计算!Z122, "#.00")</f>
        <v>1</v>
      </c>
      <c r="AA124" s="65" t="b">
        <f>TEXT(导出!AA122,"#.00")=TEXT(计算!AA122*100, "#.00")</f>
        <v>1</v>
      </c>
      <c r="AB124" s="65" t="b">
        <f>TEXT(导出!AB122,"#.00")=TEXT(计算!AB122, "#.00")</f>
        <v>1</v>
      </c>
      <c r="AC124" s="65" t="b">
        <f>TEXT(导出!AC122,"#.00")=TEXT(计算!AC122, "#.00")</f>
        <v>1</v>
      </c>
      <c r="AD124" s="65" t="b">
        <f>TEXT(导出!AD122,"#.00")=TEXT(计算!AD122, "#.00")</f>
        <v>1</v>
      </c>
      <c r="AE124" s="65" t="b">
        <f>ABS(导出!AE122-计算!AE122)&lt;10</f>
        <v>1</v>
      </c>
      <c r="AF124" s="65" t="b">
        <f>TEXT(ABS(导出!AF122),"#.00")=TEXT(ABS(计算!AF122), "#.00")</f>
        <v>1</v>
      </c>
      <c r="AG124" s="65" t="b">
        <f>TEXT(导出!AG122,"#.00")=TEXT(计算!AG122, "#.00")</f>
        <v>1</v>
      </c>
      <c r="AH124" s="65" t="b">
        <f>TEXT(导出!AH122,"#.00")=TEXT(计算!AH122, "#.00")</f>
        <v>1</v>
      </c>
      <c r="AI124">
        <v>0</v>
      </c>
      <c r="AJ124" s="3">
        <v>41912.686273148101</v>
      </c>
      <c r="AK124" s="2" t="s">
        <v>1963</v>
      </c>
    </row>
    <row r="125" spans="1:37" x14ac:dyDescent="0.15">
      <c r="A125" s="2" t="s">
        <v>1962</v>
      </c>
      <c r="B125">
        <v>994</v>
      </c>
      <c r="C125" s="3">
        <v>41562</v>
      </c>
      <c r="D125" s="2" t="s">
        <v>37</v>
      </c>
      <c r="E125" s="2" t="s">
        <v>1961</v>
      </c>
      <c r="F125" s="2" t="s">
        <v>38</v>
      </c>
      <c r="G125" s="2" t="s">
        <v>285</v>
      </c>
      <c r="H125" s="2" t="s">
        <v>286</v>
      </c>
      <c r="I125" s="65" t="b">
        <f>导出!I123=计算!I123</f>
        <v>1</v>
      </c>
      <c r="J125" s="65" t="b">
        <f>导出!J123=计算!J123</f>
        <v>1</v>
      </c>
      <c r="K125" s="65" t="b">
        <f>导出!K123=计算!K123</f>
        <v>1</v>
      </c>
      <c r="L125" s="65" t="b">
        <f>导出!L123=计算!L123</f>
        <v>1</v>
      </c>
      <c r="M125" s="65" t="b">
        <f>导出!M123=计算!M123</f>
        <v>1</v>
      </c>
      <c r="N125" s="65" t="b">
        <f>TEXT(导出!N123,"#.00")=TEXT(计算!N123, "#.00")</f>
        <v>1</v>
      </c>
      <c r="O125" s="65" t="b">
        <f>TEXT(导出!O123,"#.00")=TEXT(计算!O123, "#.00")</f>
        <v>1</v>
      </c>
      <c r="P125" s="65" t="b">
        <f>TEXT(导出!P123,"#.00")=TEXT(计算!P123, "#.00")</f>
        <v>1</v>
      </c>
      <c r="Q125" s="65" t="b">
        <f>TEXT(导出!Q123,"#.00")=TEXT(计算!Q123, "#.00")</f>
        <v>1</v>
      </c>
      <c r="R125" s="65" t="b">
        <f>TEXT(导出!R123,"#.00")=TEXT(计算!R123, "#.00")</f>
        <v>1</v>
      </c>
      <c r="S125" s="65" t="b">
        <f>TEXT(导出!S123,"#.00")=TEXT(计算!S123, "#.00")</f>
        <v>1</v>
      </c>
      <c r="T125" s="65" t="b">
        <f>TEXT(导出!T123,"#.00")=TEXT(计算!T123, "#.00")</f>
        <v>1</v>
      </c>
      <c r="U125" s="65" t="b">
        <f>TEXT(导出!U123,"#.00")=TEXT(计算!U123, "#.00")</f>
        <v>1</v>
      </c>
      <c r="V125" s="65" t="b">
        <f>TEXT(导出!V123,"#.00")=TEXT(计算!V123*100, "#.00")</f>
        <v>1</v>
      </c>
      <c r="W125" s="65" t="b">
        <f>TEXT(导出!W123,"#.00")=TEXT(计算!W123, "#.00")</f>
        <v>1</v>
      </c>
      <c r="X125" s="65" t="b">
        <f>TEXT(导出!X123,"#.00")=TEXT(计算!X123, "#.00")</f>
        <v>1</v>
      </c>
      <c r="Y125" s="65" t="b">
        <f>TEXT(导出!Y123,"#.00")=TEXT(计算!Y123, "#.00")</f>
        <v>1</v>
      </c>
      <c r="Z125" s="65" t="b">
        <f>TEXT(导出!Z123,"#.00")=TEXT(计算!Z123, "#.00")</f>
        <v>1</v>
      </c>
      <c r="AA125" s="65" t="b">
        <f>TEXT(导出!AA123,"#.00")=TEXT(计算!AA123*100, "#.00")</f>
        <v>1</v>
      </c>
      <c r="AB125" s="65" t="b">
        <f>TEXT(导出!AB123,"#.00")=TEXT(计算!AB123, "#.00")</f>
        <v>1</v>
      </c>
      <c r="AC125" s="65" t="b">
        <f>TEXT(导出!AC123,"#.00")=TEXT(计算!AC123, "#.00")</f>
        <v>1</v>
      </c>
      <c r="AD125" s="65" t="b">
        <f>TEXT(导出!AD123,"#.00")=TEXT(计算!AD123, "#.00")</f>
        <v>1</v>
      </c>
      <c r="AE125" s="65" t="b">
        <f>ABS(导出!AE123-计算!AE123)&lt;10</f>
        <v>0</v>
      </c>
      <c r="AF125" s="65" t="b">
        <f>TEXT(ABS(导出!AF123),"#.00")=TEXT(ABS(计算!AF123), "#.00")</f>
        <v>1</v>
      </c>
      <c r="AG125" s="65" t="b">
        <f>TEXT(导出!AG123,"#.00")=TEXT(计算!AG123, "#.00")</f>
        <v>1</v>
      </c>
      <c r="AH125" s="65" t="b">
        <f>TEXT(导出!AH123,"#.00")=TEXT(计算!AH123, "#.00")</f>
        <v>1</v>
      </c>
      <c r="AI125">
        <v>0</v>
      </c>
      <c r="AJ125" s="3">
        <v>41912.686273148101</v>
      </c>
      <c r="AK125" s="2" t="s">
        <v>1960</v>
      </c>
    </row>
    <row r="126" spans="1:37" x14ac:dyDescent="0.15">
      <c r="A126" s="2" t="s">
        <v>1959</v>
      </c>
      <c r="B126">
        <v>1001</v>
      </c>
      <c r="C126" s="3">
        <v>41565</v>
      </c>
      <c r="D126" s="2" t="s">
        <v>37</v>
      </c>
      <c r="E126" s="2" t="s">
        <v>1958</v>
      </c>
      <c r="F126" s="2" t="s">
        <v>38</v>
      </c>
      <c r="G126" s="2" t="s">
        <v>287</v>
      </c>
      <c r="H126" s="2" t="s">
        <v>288</v>
      </c>
      <c r="I126" s="65" t="b">
        <f>导出!I124=计算!I124</f>
        <v>1</v>
      </c>
      <c r="J126" s="65" t="b">
        <f>导出!J124=计算!J124</f>
        <v>1</v>
      </c>
      <c r="K126" s="65" t="b">
        <f>导出!K124=计算!K124</f>
        <v>1</v>
      </c>
      <c r="L126" s="65" t="b">
        <f>导出!L124=计算!L124</f>
        <v>1</v>
      </c>
      <c r="M126" s="65" t="b">
        <f>导出!M124=计算!M124</f>
        <v>1</v>
      </c>
      <c r="N126" s="65" t="b">
        <f>TEXT(导出!N124,"#.00")=TEXT(计算!N124, "#.00")</f>
        <v>1</v>
      </c>
      <c r="O126" s="65" t="b">
        <f>TEXT(导出!O124,"#.00")=TEXT(计算!O124, "#.00")</f>
        <v>1</v>
      </c>
      <c r="P126" s="65" t="b">
        <f>TEXT(导出!P124,"#.00")=TEXT(计算!P124, "#.00")</f>
        <v>1</v>
      </c>
      <c r="Q126" s="65" t="b">
        <f>TEXT(导出!Q124,"#.00")=TEXT(计算!Q124, "#.00")</f>
        <v>1</v>
      </c>
      <c r="R126" s="65" t="b">
        <f>TEXT(导出!R124,"#.00")=TEXT(计算!R124, "#.00")</f>
        <v>1</v>
      </c>
      <c r="S126" s="65" t="b">
        <f>TEXT(导出!S124,"#.00")=TEXT(计算!S124, "#.00")</f>
        <v>1</v>
      </c>
      <c r="T126" s="65" t="b">
        <f>TEXT(导出!T124,"#.00")=TEXT(计算!T124, "#.00")</f>
        <v>1</v>
      </c>
      <c r="U126" s="65" t="b">
        <f>TEXT(导出!U124,"#.00")=TEXT(计算!U124, "#.00")</f>
        <v>1</v>
      </c>
      <c r="V126" s="65" t="b">
        <f>TEXT(导出!V124,"#.00")=TEXT(计算!V124*100, "#.00")</f>
        <v>1</v>
      </c>
      <c r="W126" s="65" t="b">
        <f>TEXT(导出!W124,"#.00")=TEXT(计算!W124, "#.00")</f>
        <v>1</v>
      </c>
      <c r="X126" s="65" t="b">
        <f>TEXT(导出!X124,"#.00")=TEXT(计算!X124, "#.00")</f>
        <v>1</v>
      </c>
      <c r="Y126" s="65" t="b">
        <f>TEXT(导出!Y124,"#.00")=TEXT(计算!Y124, "#.00")</f>
        <v>1</v>
      </c>
      <c r="Z126" s="65" t="b">
        <f>TEXT(导出!Z124,"#.00")=TEXT(计算!Z124, "#.00")</f>
        <v>1</v>
      </c>
      <c r="AA126" s="65" t="b">
        <f>TEXT(导出!AA124,"#.00")=TEXT(计算!AA124*100, "#.00")</f>
        <v>1</v>
      </c>
      <c r="AB126" s="65" t="b">
        <f>TEXT(导出!AB124,"#.00")=TEXT(计算!AB124, "#.00")</f>
        <v>1</v>
      </c>
      <c r="AC126" s="65" t="b">
        <f>TEXT(导出!AC124,"#.00")=TEXT(计算!AC124, "#.00")</f>
        <v>1</v>
      </c>
      <c r="AD126" s="65" t="b">
        <f>TEXT(导出!AD124,"#.00")=TEXT(计算!AD124, "#.00")</f>
        <v>1</v>
      </c>
      <c r="AE126" s="65" t="b">
        <f>ABS(导出!AE124-计算!AE124)&lt;10</f>
        <v>0</v>
      </c>
      <c r="AF126" s="65" t="b">
        <f>TEXT(ABS(导出!AF124),"#.00")=TEXT(ABS(计算!AF124), "#.00")</f>
        <v>1</v>
      </c>
      <c r="AG126" s="65" t="b">
        <f>TEXT(导出!AG124,"#.00")=TEXT(计算!AG124, "#.00")</f>
        <v>1</v>
      </c>
      <c r="AH126" s="65" t="b">
        <f>TEXT(导出!AH124,"#.00")=TEXT(计算!AH124, "#.00")</f>
        <v>1</v>
      </c>
      <c r="AI126">
        <v>0</v>
      </c>
      <c r="AJ126" s="3">
        <v>41912.686273148101</v>
      </c>
      <c r="AK126" s="2" t="s">
        <v>1957</v>
      </c>
    </row>
    <row r="127" spans="1:37" x14ac:dyDescent="0.15">
      <c r="A127" s="2" t="s">
        <v>1956</v>
      </c>
      <c r="B127">
        <v>978</v>
      </c>
      <c r="C127" s="3">
        <v>41566</v>
      </c>
      <c r="D127" s="2" t="s">
        <v>37</v>
      </c>
      <c r="E127" s="2" t="s">
        <v>1955</v>
      </c>
      <c r="F127" s="2" t="s">
        <v>38</v>
      </c>
      <c r="G127" s="2" t="s">
        <v>289</v>
      </c>
      <c r="H127" s="2" t="s">
        <v>290</v>
      </c>
      <c r="I127" s="65" t="b">
        <f>导出!I125=计算!I125</f>
        <v>1</v>
      </c>
      <c r="J127" s="65" t="b">
        <f>导出!J125=计算!J125</f>
        <v>1</v>
      </c>
      <c r="K127" s="65" t="b">
        <f>导出!K125=计算!K125</f>
        <v>1</v>
      </c>
      <c r="L127" s="65" t="b">
        <f>导出!L125=计算!L125</f>
        <v>1</v>
      </c>
      <c r="M127" s="65" t="b">
        <f>导出!M125=计算!M125</f>
        <v>1</v>
      </c>
      <c r="N127" s="65" t="b">
        <f>TEXT(导出!N125,"#.00")=TEXT(计算!N125, "#.00")</f>
        <v>1</v>
      </c>
      <c r="O127" s="65" t="b">
        <f>TEXT(导出!O125,"#.00")=TEXT(计算!O125, "#.00")</f>
        <v>1</v>
      </c>
      <c r="P127" s="65" t="b">
        <f>TEXT(导出!P125,"#.00")=TEXT(计算!P125, "#.00")</f>
        <v>1</v>
      </c>
      <c r="Q127" s="65" t="b">
        <f>TEXT(导出!Q125,"#.00")=TEXT(计算!Q125, "#.00")</f>
        <v>0</v>
      </c>
      <c r="R127" s="65" t="b">
        <f>TEXT(导出!R125,"#.00")=TEXT(计算!R125, "#.00")</f>
        <v>1</v>
      </c>
      <c r="S127" s="65" t="b">
        <f>TEXT(导出!S125,"#.00")=TEXT(计算!S125, "#.00")</f>
        <v>1</v>
      </c>
      <c r="T127" s="65" t="b">
        <f>TEXT(导出!T125,"#.00")=TEXT(计算!T125, "#.00")</f>
        <v>1</v>
      </c>
      <c r="U127" s="65" t="b">
        <f>TEXT(导出!U125,"#.00")=TEXT(计算!U125, "#.00")</f>
        <v>1</v>
      </c>
      <c r="V127" s="65" t="b">
        <f>TEXT(导出!V125,"#.00")=TEXT(计算!V125*100, "#.00")</f>
        <v>1</v>
      </c>
      <c r="W127" s="65" t="b">
        <f>TEXT(导出!W125,"#.00")=TEXT(计算!W125, "#.00")</f>
        <v>1</v>
      </c>
      <c r="X127" s="65" t="b">
        <f>TEXT(导出!X125,"#.00")=TEXT(计算!X125, "#.00")</f>
        <v>1</v>
      </c>
      <c r="Y127" s="65" t="b">
        <f>TEXT(导出!Y125,"#.00")=TEXT(计算!Y125, "#.00")</f>
        <v>0</v>
      </c>
      <c r="Z127" s="65" t="b">
        <f>TEXT(导出!Z125,"#.00")=TEXT(计算!Z125, "#.00")</f>
        <v>1</v>
      </c>
      <c r="AA127" s="65" t="b">
        <f>TEXT(导出!AA125,"#.00")=TEXT(计算!AA125*100, "#.00")</f>
        <v>1</v>
      </c>
      <c r="AB127" s="65" t="b">
        <f>TEXT(导出!AB125,"#.00")=TEXT(计算!AB125, "#.00")</f>
        <v>1</v>
      </c>
      <c r="AC127" s="65" t="b">
        <f>TEXT(导出!AC125,"#.00")=TEXT(计算!AC125, "#.00")</f>
        <v>1</v>
      </c>
      <c r="AD127" s="65" t="b">
        <f>TEXT(导出!AD125,"#.00")=TEXT(计算!AD125, "#.00")</f>
        <v>1</v>
      </c>
      <c r="AE127" s="65" t="b">
        <f>ABS(导出!AE125-计算!AE125)&lt;10</f>
        <v>1</v>
      </c>
      <c r="AF127" s="65" t="b">
        <f>TEXT(ABS(导出!AF125),"#.00")=TEXT(ABS(计算!AF125), "#.00")</f>
        <v>1</v>
      </c>
      <c r="AG127" s="65" t="b">
        <f>TEXT(导出!AG125,"#.00")=TEXT(计算!AG125, "#.00")</f>
        <v>1</v>
      </c>
      <c r="AH127" s="65" t="b">
        <f>TEXT(导出!AH125,"#.00")=TEXT(计算!AH125, "#.00")</f>
        <v>1</v>
      </c>
      <c r="AI127">
        <v>0</v>
      </c>
      <c r="AJ127" s="3">
        <v>41912.686273148101</v>
      </c>
      <c r="AK127" s="2" t="s">
        <v>1954</v>
      </c>
    </row>
    <row r="128" spans="1:37" x14ac:dyDescent="0.15">
      <c r="A128" s="2" t="s">
        <v>1953</v>
      </c>
      <c r="B128">
        <v>1009</v>
      </c>
      <c r="C128" s="3">
        <v>41579</v>
      </c>
      <c r="D128" s="2" t="s">
        <v>37</v>
      </c>
      <c r="E128" s="2" t="s">
        <v>1952</v>
      </c>
      <c r="F128" s="2" t="s">
        <v>38</v>
      </c>
      <c r="G128" s="2" t="s">
        <v>293</v>
      </c>
      <c r="H128" s="2" t="s">
        <v>294</v>
      </c>
      <c r="I128" s="65" t="b">
        <f>导出!I126=计算!I126</f>
        <v>1</v>
      </c>
      <c r="J128" s="65" t="b">
        <f>导出!J126=计算!J126</f>
        <v>1</v>
      </c>
      <c r="K128" s="65" t="b">
        <f>导出!K126=计算!K126</f>
        <v>1</v>
      </c>
      <c r="L128" s="65" t="b">
        <f>导出!L126=计算!L126</f>
        <v>1</v>
      </c>
      <c r="M128" s="65" t="b">
        <f>导出!M126=计算!M126</f>
        <v>1</v>
      </c>
      <c r="N128" s="65" t="b">
        <f>TEXT(导出!N126,"#.00")=TEXT(计算!N126, "#.00")</f>
        <v>1</v>
      </c>
      <c r="O128" s="65" t="b">
        <f>TEXT(导出!O126,"#.00")=TEXT(计算!O126, "#.00")</f>
        <v>1</v>
      </c>
      <c r="P128" s="65" t="b">
        <f>TEXT(导出!P126,"#.00")=TEXT(计算!P126, "#.00")</f>
        <v>1</v>
      </c>
      <c r="Q128" s="65" t="b">
        <f>TEXT(导出!Q126,"#.00")=TEXT(计算!Q126, "#.00")</f>
        <v>0</v>
      </c>
      <c r="R128" s="65" t="b">
        <f>TEXT(导出!R126,"#.00")=TEXT(计算!R126, "#.00")</f>
        <v>1</v>
      </c>
      <c r="S128" s="65" t="b">
        <f>TEXT(导出!S126,"#.00")=TEXT(计算!S126, "#.00")</f>
        <v>1</v>
      </c>
      <c r="T128" s="65" t="b">
        <f>TEXT(导出!T126,"#.00")=TEXT(计算!T126, "#.00")</f>
        <v>1</v>
      </c>
      <c r="U128" s="65" t="b">
        <f>TEXT(导出!U126,"#.00")=TEXT(计算!U126, "#.00")</f>
        <v>1</v>
      </c>
      <c r="V128" s="65" t="b">
        <f>TEXT(导出!V126,"#.00")=TEXT(计算!V126*100, "#.00")</f>
        <v>1</v>
      </c>
      <c r="W128" s="65" t="b">
        <f>TEXT(导出!W126,"#.00")=TEXT(计算!W126, "#.00")</f>
        <v>1</v>
      </c>
      <c r="X128" s="65" t="b">
        <f>TEXT(导出!X126,"#.00")=TEXT(计算!X126, "#.00")</f>
        <v>1</v>
      </c>
      <c r="Y128" s="65" t="b">
        <f>TEXT(导出!Y126,"#.00")=TEXT(计算!Y126, "#.00")</f>
        <v>1</v>
      </c>
      <c r="Z128" s="65" t="b">
        <f>TEXT(导出!Z126,"#.00")=TEXT(计算!Z126, "#.00")</f>
        <v>1</v>
      </c>
      <c r="AA128" s="65" t="b">
        <f>TEXT(导出!AA126,"#.00")=TEXT(计算!AA126*100, "#.00")</f>
        <v>1</v>
      </c>
      <c r="AB128" s="65" t="b">
        <f>TEXT(导出!AB126,"#.00")=TEXT(计算!AB126, "#.00")</f>
        <v>1</v>
      </c>
      <c r="AC128" s="65" t="b">
        <f>TEXT(导出!AC126,"#.00")=TEXT(计算!AC126, "#.00")</f>
        <v>1</v>
      </c>
      <c r="AD128" s="65" t="b">
        <f>TEXT(导出!AD126,"#.00")=TEXT(计算!AD126, "#.00")</f>
        <v>1</v>
      </c>
      <c r="AE128" s="65" t="b">
        <f>ABS(导出!AE126-计算!AE126)&lt;10</f>
        <v>1</v>
      </c>
      <c r="AF128" s="65" t="b">
        <f>TEXT(ABS(导出!AF126),"#.00")=TEXT(ABS(计算!AF126), "#.00")</f>
        <v>1</v>
      </c>
      <c r="AG128" s="65" t="b">
        <f>TEXT(导出!AG126,"#.00")=TEXT(计算!AG126, "#.00")</f>
        <v>1</v>
      </c>
      <c r="AH128" s="65" t="b">
        <f>TEXT(导出!AH126,"#.00")=TEXT(计算!AH126, "#.00")</f>
        <v>1</v>
      </c>
      <c r="AI128">
        <v>0</v>
      </c>
      <c r="AJ128" s="3">
        <v>41912.686273148101</v>
      </c>
      <c r="AK128" s="2" t="s">
        <v>1951</v>
      </c>
    </row>
    <row r="129" spans="1:37" x14ac:dyDescent="0.15">
      <c r="A129" s="2" t="s">
        <v>1950</v>
      </c>
      <c r="B129">
        <v>151</v>
      </c>
      <c r="C129" s="3">
        <v>41579</v>
      </c>
      <c r="D129" s="2" t="s">
        <v>37</v>
      </c>
      <c r="E129" s="2" t="s">
        <v>1949</v>
      </c>
      <c r="F129" s="2" t="s">
        <v>41</v>
      </c>
      <c r="G129" s="2" t="s">
        <v>291</v>
      </c>
      <c r="H129" s="2" t="s">
        <v>292</v>
      </c>
      <c r="I129" s="65" t="b">
        <f>导出!I127=计算!I127</f>
        <v>1</v>
      </c>
      <c r="J129" s="65" t="b">
        <f>导出!J127=计算!J127</f>
        <v>1</v>
      </c>
      <c r="K129" s="65" t="b">
        <f>导出!K127=计算!K127</f>
        <v>1</v>
      </c>
      <c r="L129" s="65" t="b">
        <f>导出!L127=计算!L127</f>
        <v>1</v>
      </c>
      <c r="M129" s="65" t="b">
        <f>导出!M127=计算!M127</f>
        <v>1</v>
      </c>
      <c r="N129" s="65" t="b">
        <f>TEXT(导出!N127,"#.00")=TEXT(计算!N127, "#.00")</f>
        <v>1</v>
      </c>
      <c r="O129" s="65" t="b">
        <f>TEXT(导出!O127,"#.00")=TEXT(计算!O127, "#.00")</f>
        <v>1</v>
      </c>
      <c r="P129" s="65" t="b">
        <f>TEXT(导出!P127,"#.00")=TEXT(计算!P127, "#.00")</f>
        <v>1</v>
      </c>
      <c r="Q129" s="65" t="b">
        <f>TEXT(导出!Q127,"#.00")=TEXT(计算!Q127, "#.00")</f>
        <v>1</v>
      </c>
      <c r="R129" s="65" t="b">
        <f>TEXT(导出!R127,"#.00")=TEXT(计算!R127, "#.00")</f>
        <v>1</v>
      </c>
      <c r="S129" s="65" t="b">
        <f>TEXT(导出!S127,"#.00")=TEXT(计算!S127, "#.00")</f>
        <v>1</v>
      </c>
      <c r="T129" s="65" t="b">
        <f>TEXT(导出!T127,"#.00")=TEXT(计算!T127, "#.00")</f>
        <v>1</v>
      </c>
      <c r="U129" s="65" t="b">
        <f>TEXT(导出!U127,"#.00")=TEXT(计算!U127, "#.00")</f>
        <v>1</v>
      </c>
      <c r="V129" s="65" t="b">
        <f>TEXT(导出!V127,"#.00")=TEXT(计算!V127*100, "#.00")</f>
        <v>1</v>
      </c>
      <c r="W129" s="65" t="b">
        <f>TEXT(导出!W127,"#.00")=TEXT(计算!W127, "#.00")</f>
        <v>1</v>
      </c>
      <c r="X129" s="65" t="b">
        <f>TEXT(导出!X127,"#.00")=TEXT(计算!X127, "#.00")</f>
        <v>1</v>
      </c>
      <c r="Y129" s="65" t="b">
        <f>TEXT(导出!Y127,"#.00")=TEXT(计算!Y127, "#.00")</f>
        <v>1</v>
      </c>
      <c r="Z129" s="65" t="b">
        <f>TEXT(导出!Z127,"#.00")=TEXT(计算!Z127, "#.00")</f>
        <v>1</v>
      </c>
      <c r="AA129" s="65" t="b">
        <f>TEXT(导出!AA127,"#.00")=TEXT(计算!AA127*100, "#.00")</f>
        <v>1</v>
      </c>
      <c r="AB129" s="65" t="b">
        <f>TEXT(导出!AB127,"#.00")=TEXT(计算!AB127, "#.00")</f>
        <v>1</v>
      </c>
      <c r="AC129" s="65" t="b">
        <f>TEXT(导出!AC127,"#.00")=TEXT(计算!AC127, "#.00")</f>
        <v>1</v>
      </c>
      <c r="AD129" s="65" t="b">
        <f>TEXT(导出!AD127,"#.00")=TEXT(计算!AD127, "#.00")</f>
        <v>1</v>
      </c>
      <c r="AE129" s="65" t="b">
        <f>ABS(导出!AE127-计算!AE127)&lt;10</f>
        <v>1</v>
      </c>
      <c r="AF129" s="65" t="b">
        <f>TEXT(ABS(导出!AF127),"#.00")=TEXT(ABS(计算!AF127), "#.00")</f>
        <v>1</v>
      </c>
      <c r="AG129" s="65" t="b">
        <f>TEXT(导出!AG127,"#.00")=TEXT(计算!AG127, "#.00")</f>
        <v>1</v>
      </c>
      <c r="AH129" s="65" t="b">
        <f>TEXT(导出!AH127,"#.00")=TEXT(计算!AH127, "#.00")</f>
        <v>1</v>
      </c>
      <c r="AI129">
        <v>0</v>
      </c>
      <c r="AJ129" s="3">
        <v>41912.6862384259</v>
      </c>
      <c r="AK129" s="2" t="s">
        <v>1948</v>
      </c>
    </row>
    <row r="130" spans="1:37" x14ac:dyDescent="0.15">
      <c r="A130" s="2" t="s">
        <v>1947</v>
      </c>
      <c r="B130">
        <v>1024</v>
      </c>
      <c r="C130" s="3">
        <v>41583</v>
      </c>
      <c r="D130" s="2" t="s">
        <v>37</v>
      </c>
      <c r="E130" s="2" t="s">
        <v>1946</v>
      </c>
      <c r="F130" s="2" t="s">
        <v>38</v>
      </c>
      <c r="G130" s="2" t="s">
        <v>295</v>
      </c>
      <c r="H130" s="2" t="s">
        <v>296</v>
      </c>
      <c r="I130" s="65" t="b">
        <f>导出!I128=计算!I128</f>
        <v>1</v>
      </c>
      <c r="J130" s="65" t="b">
        <f>导出!J128=计算!J128</f>
        <v>1</v>
      </c>
      <c r="K130" s="65" t="b">
        <f>导出!K128=计算!K128</f>
        <v>1</v>
      </c>
      <c r="L130" s="65" t="b">
        <f>导出!L128=计算!L128</f>
        <v>1</v>
      </c>
      <c r="M130" s="65" t="b">
        <f>导出!M128=计算!M128</f>
        <v>1</v>
      </c>
      <c r="N130" s="65" t="b">
        <f>TEXT(导出!N128,"#.00")=TEXT(计算!N128, "#.00")</f>
        <v>1</v>
      </c>
      <c r="O130" s="65" t="b">
        <f>TEXT(导出!O128,"#.00")=TEXT(计算!O128, "#.00")</f>
        <v>1</v>
      </c>
      <c r="P130" s="65" t="b">
        <f>TEXT(导出!P128,"#.00")=TEXT(计算!P128, "#.00")</f>
        <v>1</v>
      </c>
      <c r="Q130" s="65" t="b">
        <f>TEXT(导出!Q128,"#.00")=TEXT(计算!Q128, "#.00")</f>
        <v>1</v>
      </c>
      <c r="R130" s="65" t="b">
        <f>TEXT(导出!R128,"#.00")=TEXT(计算!R128, "#.00")</f>
        <v>1</v>
      </c>
      <c r="S130" s="65" t="b">
        <f>TEXT(导出!S128,"#.00")=TEXT(计算!S128, "#.00")</f>
        <v>1</v>
      </c>
      <c r="T130" s="65" t="b">
        <f>TEXT(导出!T128,"#.00")=TEXT(计算!T128, "#.00")</f>
        <v>1</v>
      </c>
      <c r="U130" s="65" t="b">
        <f>TEXT(导出!U128,"#.00")=TEXT(计算!U128, "#.00")</f>
        <v>1</v>
      </c>
      <c r="V130" s="65" t="b">
        <f>TEXT(导出!V128,"#.00")=TEXT(计算!V128*100, "#.00")</f>
        <v>1</v>
      </c>
      <c r="W130" s="65" t="b">
        <f>TEXT(导出!W128,"#.00")=TEXT(计算!W128, "#.00")</f>
        <v>1</v>
      </c>
      <c r="X130" s="65" t="b">
        <f>TEXT(导出!X128,"#.00")=TEXT(计算!X128, "#.00")</f>
        <v>1</v>
      </c>
      <c r="Y130" s="65" t="b">
        <f>TEXT(导出!Y128,"#.00")=TEXT(计算!Y128, "#.00")</f>
        <v>1</v>
      </c>
      <c r="Z130" s="65" t="b">
        <f>TEXT(导出!Z128,"#.00")=TEXT(计算!Z128, "#.00")</f>
        <v>1</v>
      </c>
      <c r="AA130" s="65" t="b">
        <f>TEXT(导出!AA128,"#.00")=TEXT(计算!AA128*100, "#.00")</f>
        <v>1</v>
      </c>
      <c r="AB130" s="65" t="b">
        <f>TEXT(导出!AB128,"#.00")=TEXT(计算!AB128, "#.00")</f>
        <v>1</v>
      </c>
      <c r="AC130" s="65" t="b">
        <f>TEXT(导出!AC128,"#.00")=TEXT(计算!AC128, "#.00")</f>
        <v>1</v>
      </c>
      <c r="AD130" s="65" t="b">
        <f>TEXT(导出!AD128,"#.00")=TEXT(计算!AD128, "#.00")</f>
        <v>1</v>
      </c>
      <c r="AE130" s="65" t="b">
        <f>ABS(导出!AE128-计算!AE128)&lt;10</f>
        <v>1</v>
      </c>
      <c r="AF130" s="65" t="b">
        <f>TEXT(ABS(导出!AF128),"#.00")=TEXT(ABS(计算!AF128), "#.00")</f>
        <v>1</v>
      </c>
      <c r="AG130" s="65" t="b">
        <f>TEXT(导出!AG128,"#.00")=TEXT(计算!AG128, "#.00")</f>
        <v>1</v>
      </c>
      <c r="AH130" s="65" t="b">
        <f>TEXT(导出!AH128,"#.00")=TEXT(计算!AH128, "#.00")</f>
        <v>1</v>
      </c>
      <c r="AI130">
        <v>0</v>
      </c>
      <c r="AJ130" s="3">
        <v>41912.686273148101</v>
      </c>
      <c r="AK130" s="2" t="s">
        <v>1945</v>
      </c>
    </row>
    <row r="131" spans="1:37" x14ac:dyDescent="0.15">
      <c r="A131" s="2" t="s">
        <v>1944</v>
      </c>
      <c r="B131">
        <v>943</v>
      </c>
      <c r="C131" s="3">
        <v>41588</v>
      </c>
      <c r="D131" s="2" t="s">
        <v>37</v>
      </c>
      <c r="E131" s="2" t="s">
        <v>1943</v>
      </c>
      <c r="F131" s="2" t="s">
        <v>38</v>
      </c>
      <c r="G131" s="2" t="s">
        <v>297</v>
      </c>
      <c r="H131" s="2" t="s">
        <v>298</v>
      </c>
      <c r="I131" s="65" t="b">
        <f>导出!I129=计算!I129</f>
        <v>1</v>
      </c>
      <c r="J131" s="65" t="b">
        <f>导出!J129=计算!J129</f>
        <v>1</v>
      </c>
      <c r="K131" s="65" t="b">
        <f>导出!K129=计算!K129</f>
        <v>1</v>
      </c>
      <c r="L131" s="65" t="b">
        <f>导出!L129=计算!L129</f>
        <v>1</v>
      </c>
      <c r="M131" s="65" t="b">
        <f>导出!M129=计算!M129</f>
        <v>1</v>
      </c>
      <c r="N131" s="65" t="b">
        <f>TEXT(导出!N129,"#.00")=TEXT(计算!N129, "#.00")</f>
        <v>1</v>
      </c>
      <c r="O131" s="65" t="b">
        <f>TEXT(导出!O129,"#.00")=TEXT(计算!O129, "#.00")</f>
        <v>1</v>
      </c>
      <c r="P131" s="65" t="b">
        <f>TEXT(导出!P129,"#.00")=TEXT(计算!P129, "#.00")</f>
        <v>1</v>
      </c>
      <c r="Q131" s="65" t="b">
        <f>TEXT(导出!Q129,"#.00")=TEXT(计算!Q129, "#.00")</f>
        <v>0</v>
      </c>
      <c r="R131" s="65" t="b">
        <f>TEXT(导出!R129,"#.00")=TEXT(计算!R129, "#.00")</f>
        <v>1</v>
      </c>
      <c r="S131" s="65" t="b">
        <f>TEXT(导出!S129,"#.00")=TEXT(计算!S129, "#.00")</f>
        <v>1</v>
      </c>
      <c r="T131" s="65" t="b">
        <f>TEXT(导出!T129,"#.00")=TEXT(计算!T129, "#.00")</f>
        <v>1</v>
      </c>
      <c r="U131" s="65" t="b">
        <f>TEXT(导出!U129,"#.00")=TEXT(计算!U129, "#.00")</f>
        <v>1</v>
      </c>
      <c r="V131" s="65" t="b">
        <f>TEXT(导出!V129,"#.00")=TEXT(计算!V129*100, "#.00")</f>
        <v>1</v>
      </c>
      <c r="W131" s="65" t="b">
        <f>TEXT(导出!W129,"#.00")=TEXT(计算!W129, "#.00")</f>
        <v>1</v>
      </c>
      <c r="X131" s="65" t="b">
        <f>TEXT(导出!X129,"#.00")=TEXT(计算!X129, "#.00")</f>
        <v>1</v>
      </c>
      <c r="Y131" s="65" t="b">
        <f>TEXT(导出!Y129,"#.00")=TEXT(计算!Y129, "#.00")</f>
        <v>0</v>
      </c>
      <c r="Z131" s="65" t="b">
        <f>TEXT(导出!Z129,"#.00")=TEXT(计算!Z129, "#.00")</f>
        <v>1</v>
      </c>
      <c r="AA131" s="65" t="b">
        <f>TEXT(导出!AA129,"#.00")=TEXT(计算!AA129*100, "#.00")</f>
        <v>1</v>
      </c>
      <c r="AB131" s="65" t="b">
        <f>TEXT(导出!AB129,"#.00")=TEXT(计算!AB129, "#.00")</f>
        <v>1</v>
      </c>
      <c r="AC131" s="65" t="b">
        <f>TEXT(导出!AC129,"#.00")=TEXT(计算!AC129, "#.00")</f>
        <v>1</v>
      </c>
      <c r="AD131" s="65" t="b">
        <f>TEXT(导出!AD129,"#.00")=TEXT(计算!AD129, "#.00")</f>
        <v>1</v>
      </c>
      <c r="AE131" s="65" t="b">
        <f>ABS(导出!AE129-计算!AE129)&lt;10</f>
        <v>0</v>
      </c>
      <c r="AF131" s="65" t="b">
        <f>TEXT(ABS(导出!AF129),"#.00")=TEXT(ABS(计算!AF129), "#.00")</f>
        <v>1</v>
      </c>
      <c r="AG131" s="65" t="b">
        <f>TEXT(导出!AG129,"#.00")=TEXT(计算!AG129, "#.00")</f>
        <v>1</v>
      </c>
      <c r="AH131" s="65" t="b">
        <f>TEXT(导出!AH129,"#.00")=TEXT(计算!AH129, "#.00")</f>
        <v>1</v>
      </c>
      <c r="AI131">
        <v>0</v>
      </c>
      <c r="AJ131" s="3">
        <v>41912.686273148101</v>
      </c>
      <c r="AK131" s="2" t="s">
        <v>1942</v>
      </c>
    </row>
    <row r="132" spans="1:37" x14ac:dyDescent="0.15">
      <c r="A132" s="2" t="s">
        <v>1941</v>
      </c>
      <c r="B132">
        <v>1034</v>
      </c>
      <c r="C132" s="3">
        <v>41592</v>
      </c>
      <c r="D132" s="2" t="s">
        <v>37</v>
      </c>
      <c r="E132" s="2" t="s">
        <v>1940</v>
      </c>
      <c r="F132" s="2" t="s">
        <v>38</v>
      </c>
      <c r="G132" s="2" t="s">
        <v>299</v>
      </c>
      <c r="H132" s="2" t="s">
        <v>300</v>
      </c>
      <c r="I132" s="65" t="b">
        <f>导出!I130=计算!I130</f>
        <v>1</v>
      </c>
      <c r="J132" s="65" t="b">
        <f>导出!J130=计算!J130</f>
        <v>1</v>
      </c>
      <c r="K132" s="65" t="b">
        <f>导出!K130=计算!K130</f>
        <v>1</v>
      </c>
      <c r="L132" s="65" t="b">
        <f>导出!L130=计算!L130</f>
        <v>1</v>
      </c>
      <c r="M132" s="65" t="b">
        <f>导出!M130=计算!M130</f>
        <v>1</v>
      </c>
      <c r="N132" s="65" t="b">
        <f>TEXT(导出!N130,"#.00")=TEXT(计算!N130, "#.00")</f>
        <v>1</v>
      </c>
      <c r="O132" s="65" t="b">
        <f>TEXT(导出!O130,"#.00")=TEXT(计算!O130, "#.00")</f>
        <v>1</v>
      </c>
      <c r="P132" s="65" t="b">
        <f>TEXT(导出!P130,"#.00")=TEXT(计算!P130, "#.00")</f>
        <v>1</v>
      </c>
      <c r="Q132" s="65" t="b">
        <f>TEXT(导出!Q130,"#.00")=TEXT(计算!Q130, "#.00")</f>
        <v>0</v>
      </c>
      <c r="R132" s="65" t="b">
        <f>TEXT(导出!R130,"#.00")=TEXT(计算!R130, "#.00")</f>
        <v>1</v>
      </c>
      <c r="S132" s="65" t="b">
        <f>TEXT(导出!S130,"#.00")=TEXT(计算!S130, "#.00")</f>
        <v>1</v>
      </c>
      <c r="T132" s="65" t="b">
        <f>TEXT(导出!T130,"#.00")=TEXT(计算!T130, "#.00")</f>
        <v>1</v>
      </c>
      <c r="U132" s="65" t="b">
        <f>TEXT(导出!U130,"#.00")=TEXT(计算!U130, "#.00")</f>
        <v>1</v>
      </c>
      <c r="V132" s="65" t="b">
        <f>TEXT(导出!V130,"#.00")=TEXT(计算!V130*100, "#.00")</f>
        <v>1</v>
      </c>
      <c r="W132" s="65" t="b">
        <f>TEXT(导出!W130,"#.00")=TEXT(计算!W130, "#.00")</f>
        <v>1</v>
      </c>
      <c r="X132" s="65" t="b">
        <f>TEXT(导出!X130,"#.00")=TEXT(计算!X130, "#.00")</f>
        <v>1</v>
      </c>
      <c r="Y132" s="65" t="b">
        <f>TEXT(导出!Y130,"#.00")=TEXT(计算!Y130, "#.00")</f>
        <v>0</v>
      </c>
      <c r="Z132" s="65" t="b">
        <f>TEXT(导出!Z130,"#.00")=TEXT(计算!Z130, "#.00")</f>
        <v>1</v>
      </c>
      <c r="AA132" s="65" t="b">
        <f>TEXT(导出!AA130,"#.00")=TEXT(计算!AA130*100, "#.00")</f>
        <v>1</v>
      </c>
      <c r="AB132" s="65" t="b">
        <f>TEXT(导出!AB130,"#.00")=TEXT(计算!AB130, "#.00")</f>
        <v>1</v>
      </c>
      <c r="AC132" s="65" t="b">
        <f>TEXT(导出!AC130,"#.00")=TEXT(计算!AC130, "#.00")</f>
        <v>1</v>
      </c>
      <c r="AD132" s="65" t="b">
        <f>TEXT(导出!AD130,"#.00")=TEXT(计算!AD130, "#.00")</f>
        <v>1</v>
      </c>
      <c r="AE132" s="65" t="b">
        <f>ABS(导出!AE130-计算!AE130)&lt;10</f>
        <v>1</v>
      </c>
      <c r="AF132" s="65" t="b">
        <f>TEXT(ABS(导出!AF130),"#.00")=TEXT(ABS(计算!AF130), "#.00")</f>
        <v>1</v>
      </c>
      <c r="AG132" s="65" t="b">
        <f>TEXT(导出!AG130,"#.00")=TEXT(计算!AG130, "#.00")</f>
        <v>1</v>
      </c>
      <c r="AH132" s="65" t="b">
        <f>TEXT(导出!AH130,"#.00")=TEXT(计算!AH130, "#.00")</f>
        <v>1</v>
      </c>
      <c r="AI132">
        <v>0</v>
      </c>
      <c r="AJ132" s="3">
        <v>41912.686273148101</v>
      </c>
      <c r="AK132" s="2" t="s">
        <v>1939</v>
      </c>
    </row>
    <row r="133" spans="1:37" x14ac:dyDescent="0.15">
      <c r="A133" s="2" t="s">
        <v>1938</v>
      </c>
      <c r="B133">
        <v>1036</v>
      </c>
      <c r="C133" s="3">
        <v>41596</v>
      </c>
      <c r="D133" s="2" t="s">
        <v>37</v>
      </c>
      <c r="E133" s="2" t="s">
        <v>1937</v>
      </c>
      <c r="F133" s="2" t="s">
        <v>38</v>
      </c>
      <c r="G133" s="2" t="s">
        <v>301</v>
      </c>
      <c r="H133" s="2" t="s">
        <v>302</v>
      </c>
      <c r="I133" s="65" t="b">
        <f>导出!I131=计算!I131</f>
        <v>1</v>
      </c>
      <c r="J133" s="65" t="b">
        <f>导出!J131=计算!J131</f>
        <v>1</v>
      </c>
      <c r="K133" s="65" t="b">
        <f>导出!K131=计算!K131</f>
        <v>1</v>
      </c>
      <c r="L133" s="65" t="b">
        <f>导出!L131=计算!L131</f>
        <v>1</v>
      </c>
      <c r="M133" s="65" t="b">
        <f>导出!M131=计算!M131</f>
        <v>1</v>
      </c>
      <c r="N133" s="65" t="b">
        <f>TEXT(导出!N131,"#.00")=TEXT(计算!N131, "#.00")</f>
        <v>1</v>
      </c>
      <c r="O133" s="65" t="b">
        <f>TEXT(导出!O131,"#.00")=TEXT(计算!O131, "#.00")</f>
        <v>1</v>
      </c>
      <c r="P133" s="65" t="b">
        <f>TEXT(导出!P131,"#.00")=TEXT(计算!P131, "#.00")</f>
        <v>1</v>
      </c>
      <c r="Q133" s="65" t="b">
        <f>TEXT(导出!Q131,"#.00")=TEXT(计算!Q131, "#.00")</f>
        <v>1</v>
      </c>
      <c r="R133" s="65" t="b">
        <f>TEXT(导出!R131,"#.00")=TEXT(计算!R131, "#.00")</f>
        <v>1</v>
      </c>
      <c r="S133" s="65" t="b">
        <f>TEXT(导出!S131,"#.00")=TEXT(计算!S131, "#.00")</f>
        <v>1</v>
      </c>
      <c r="T133" s="65" t="b">
        <f>TEXT(导出!T131,"#.00")=TEXT(计算!T131, "#.00")</f>
        <v>1</v>
      </c>
      <c r="U133" s="65" t="b">
        <f>TEXT(导出!U131,"#.00")=TEXT(计算!U131, "#.00")</f>
        <v>1</v>
      </c>
      <c r="V133" s="65" t="b">
        <f>TEXT(导出!V131,"#.00")=TEXT(计算!V131*100, "#.00")</f>
        <v>1</v>
      </c>
      <c r="W133" s="65" t="b">
        <f>TEXT(导出!W131,"#.00")=TEXT(计算!W131, "#.00")</f>
        <v>1</v>
      </c>
      <c r="X133" s="65" t="b">
        <f>TEXT(导出!X131,"#.00")=TEXT(计算!X131, "#.00")</f>
        <v>1</v>
      </c>
      <c r="Y133" s="65" t="b">
        <f>TEXT(导出!Y131,"#.00")=TEXT(计算!Y131, "#.00")</f>
        <v>1</v>
      </c>
      <c r="Z133" s="65" t="b">
        <f>TEXT(导出!Z131,"#.00")=TEXT(计算!Z131, "#.00")</f>
        <v>1</v>
      </c>
      <c r="AA133" s="65" t="b">
        <f>TEXT(导出!AA131,"#.00")=TEXT(计算!AA131*100, "#.00")</f>
        <v>1</v>
      </c>
      <c r="AB133" s="65" t="b">
        <f>TEXT(导出!AB131,"#.00")=TEXT(计算!AB131, "#.00")</f>
        <v>1</v>
      </c>
      <c r="AC133" s="65" t="b">
        <f>TEXT(导出!AC131,"#.00")=TEXT(计算!AC131, "#.00")</f>
        <v>1</v>
      </c>
      <c r="AD133" s="65" t="b">
        <f>TEXT(导出!AD131,"#.00")=TEXT(计算!AD131, "#.00")</f>
        <v>1</v>
      </c>
      <c r="AE133" s="65" t="b">
        <f>ABS(导出!AE131-计算!AE131)&lt;10</f>
        <v>1</v>
      </c>
      <c r="AF133" s="65" t="b">
        <f>TEXT(ABS(导出!AF131),"#.00")=TEXT(ABS(计算!AF131), "#.00")</f>
        <v>1</v>
      </c>
      <c r="AG133" s="65" t="b">
        <f>TEXT(导出!AG131,"#.00")=TEXT(计算!AG131, "#.00")</f>
        <v>1</v>
      </c>
      <c r="AH133" s="65" t="b">
        <f>TEXT(导出!AH131,"#.00")=TEXT(计算!AH131, "#.00")</f>
        <v>1</v>
      </c>
      <c r="AI133">
        <v>0</v>
      </c>
      <c r="AJ133" s="3">
        <v>41912.686273148101</v>
      </c>
      <c r="AK133" s="2" t="s">
        <v>1936</v>
      </c>
    </row>
    <row r="134" spans="1:37" x14ac:dyDescent="0.15">
      <c r="A134" s="2" t="s">
        <v>1935</v>
      </c>
      <c r="B134">
        <v>1016</v>
      </c>
      <c r="C134" s="3">
        <v>41599</v>
      </c>
      <c r="D134" s="2" t="s">
        <v>37</v>
      </c>
      <c r="E134" s="2" t="s">
        <v>1934</v>
      </c>
      <c r="F134" s="2" t="s">
        <v>38</v>
      </c>
      <c r="G134" s="2" t="s">
        <v>304</v>
      </c>
      <c r="H134" s="2" t="s">
        <v>305</v>
      </c>
      <c r="I134" s="65" t="b">
        <f>导出!I132=计算!I132</f>
        <v>1</v>
      </c>
      <c r="J134" s="65" t="b">
        <f>导出!J132=计算!J132</f>
        <v>1</v>
      </c>
      <c r="K134" s="65" t="b">
        <f>导出!K132=计算!K132</f>
        <v>1</v>
      </c>
      <c r="L134" s="65" t="b">
        <f>导出!L132=计算!L132</f>
        <v>1</v>
      </c>
      <c r="M134" s="65" t="b">
        <f>导出!M132=计算!M132</f>
        <v>1</v>
      </c>
      <c r="N134" s="65" t="b">
        <f>TEXT(导出!N132,"#.00")=TEXT(计算!N132, "#.00")</f>
        <v>1</v>
      </c>
      <c r="O134" s="65" t="b">
        <f>TEXT(导出!O132,"#.00")=TEXT(计算!O132, "#.00")</f>
        <v>1</v>
      </c>
      <c r="P134" s="65" t="b">
        <f>TEXT(导出!P132,"#.00")=TEXT(计算!P132, "#.00")</f>
        <v>1</v>
      </c>
      <c r="Q134" s="65" t="b">
        <f>TEXT(导出!Q132,"#.00")=TEXT(计算!Q132, "#.00")</f>
        <v>0</v>
      </c>
      <c r="R134" s="65" t="b">
        <f>TEXT(导出!R132,"#.00")=TEXT(计算!R132, "#.00")</f>
        <v>1</v>
      </c>
      <c r="S134" s="65" t="b">
        <f>TEXT(导出!S132,"#.00")=TEXT(计算!S132, "#.00")</f>
        <v>1</v>
      </c>
      <c r="T134" s="65" t="b">
        <f>TEXT(导出!T132,"#.00")=TEXT(计算!T132, "#.00")</f>
        <v>1</v>
      </c>
      <c r="U134" s="65" t="b">
        <f>TEXT(导出!U132,"#.00")=TEXT(计算!U132, "#.00")</f>
        <v>1</v>
      </c>
      <c r="V134" s="65" t="b">
        <f>TEXT(导出!V132,"#.00")=TEXT(计算!V132*100, "#.00")</f>
        <v>1</v>
      </c>
      <c r="W134" s="65" t="b">
        <f>TEXT(导出!W132,"#.00")=TEXT(计算!W132, "#.00")</f>
        <v>1</v>
      </c>
      <c r="X134" s="65" t="b">
        <f>TEXT(导出!X132,"#.00")=TEXT(计算!X132, "#.00")</f>
        <v>1</v>
      </c>
      <c r="Y134" s="65" t="b">
        <f>TEXT(导出!Y132,"#.00")=TEXT(计算!Y132, "#.00")</f>
        <v>1</v>
      </c>
      <c r="Z134" s="65" t="b">
        <f>TEXT(导出!Z132,"#.00")=TEXT(计算!Z132, "#.00")</f>
        <v>1</v>
      </c>
      <c r="AA134" s="65" t="b">
        <f>TEXT(导出!AA132,"#.00")=TEXT(计算!AA132*100, "#.00")</f>
        <v>1</v>
      </c>
      <c r="AB134" s="65" t="b">
        <f>TEXT(导出!AB132,"#.00")=TEXT(计算!AB132, "#.00")</f>
        <v>1</v>
      </c>
      <c r="AC134" s="65" t="b">
        <f>TEXT(导出!AC132,"#.00")=TEXT(计算!AC132, "#.00")</f>
        <v>1</v>
      </c>
      <c r="AD134" s="65" t="b">
        <f>TEXT(导出!AD132,"#.00")=TEXT(计算!AD132, "#.00")</f>
        <v>1</v>
      </c>
      <c r="AE134" s="65" t="b">
        <f>ABS(导出!AE132-计算!AE132)&lt;10</f>
        <v>1</v>
      </c>
      <c r="AF134" s="65" t="b">
        <f>TEXT(ABS(导出!AF132),"#.00")=TEXT(ABS(计算!AF132), "#.00")</f>
        <v>1</v>
      </c>
      <c r="AG134" s="65" t="b">
        <f>TEXT(导出!AG132,"#.00")=TEXT(计算!AG132, "#.00")</f>
        <v>1</v>
      </c>
      <c r="AH134" s="65" t="b">
        <f>TEXT(导出!AH132,"#.00")=TEXT(计算!AH132, "#.00")</f>
        <v>1</v>
      </c>
      <c r="AI134">
        <v>0</v>
      </c>
      <c r="AJ134" s="3">
        <v>41912.686273148101</v>
      </c>
      <c r="AK134" s="2" t="s">
        <v>1933</v>
      </c>
    </row>
    <row r="135" spans="1:37" x14ac:dyDescent="0.15">
      <c r="A135" s="2" t="s">
        <v>1932</v>
      </c>
      <c r="B135">
        <v>168</v>
      </c>
      <c r="C135" s="3">
        <v>41609</v>
      </c>
      <c r="D135" s="2" t="s">
        <v>37</v>
      </c>
      <c r="E135" s="2" t="s">
        <v>1931</v>
      </c>
      <c r="F135" s="2" t="s">
        <v>41</v>
      </c>
      <c r="G135" s="2" t="s">
        <v>318</v>
      </c>
      <c r="H135" s="2" t="s">
        <v>319</v>
      </c>
      <c r="I135" s="65" t="b">
        <f>导出!I133=计算!I133</f>
        <v>1</v>
      </c>
      <c r="J135" s="65" t="b">
        <f>导出!J133=计算!J133</f>
        <v>1</v>
      </c>
      <c r="K135" s="65" t="b">
        <f>导出!K133=计算!K133</f>
        <v>1</v>
      </c>
      <c r="L135" s="65" t="b">
        <f>导出!L133=计算!L133</f>
        <v>1</v>
      </c>
      <c r="M135" s="65" t="b">
        <f>导出!M133=计算!M133</f>
        <v>1</v>
      </c>
      <c r="N135" s="65" t="b">
        <f>TEXT(导出!N133,"#.00")=TEXT(计算!N133, "#.00")</f>
        <v>1</v>
      </c>
      <c r="O135" s="65" t="b">
        <f>TEXT(导出!O133,"#.00")=TEXT(计算!O133, "#.00")</f>
        <v>1</v>
      </c>
      <c r="P135" s="65" t="b">
        <f>TEXT(导出!P133,"#.00")=TEXT(计算!P133, "#.00")</f>
        <v>1</v>
      </c>
      <c r="Q135" s="65" t="b">
        <f>TEXT(导出!Q133,"#.00")=TEXT(计算!Q133, "#.00")</f>
        <v>1</v>
      </c>
      <c r="R135" s="65" t="b">
        <f>TEXT(导出!R133,"#.00")=TEXT(计算!R133, "#.00")</f>
        <v>1</v>
      </c>
      <c r="S135" s="65" t="b">
        <f>TEXT(导出!S133,"#.00")=TEXT(计算!S133, "#.00")</f>
        <v>1</v>
      </c>
      <c r="T135" s="65" t="b">
        <f>TEXT(导出!T133,"#.00")=TEXT(计算!T133, "#.00")</f>
        <v>1</v>
      </c>
      <c r="U135" s="65" t="b">
        <f>TEXT(导出!U133,"#.00")=TEXT(计算!U133, "#.00")</f>
        <v>1</v>
      </c>
      <c r="V135" s="65" t="b">
        <f>TEXT(导出!V133,"#.00")=TEXT(计算!V133*100, "#.00")</f>
        <v>1</v>
      </c>
      <c r="W135" s="65" t="b">
        <f>TEXT(导出!W133,"#.00")=TEXT(计算!W133, "#.00")</f>
        <v>1</v>
      </c>
      <c r="X135" s="65" t="b">
        <f>TEXT(导出!X133,"#.00")=TEXT(计算!X133, "#.00")</f>
        <v>1</v>
      </c>
      <c r="Y135" s="65" t="b">
        <f>TEXT(导出!Y133,"#.00")=TEXT(计算!Y133, "#.00")</f>
        <v>1</v>
      </c>
      <c r="Z135" s="65" t="b">
        <f>TEXT(导出!Z133,"#.00")=TEXT(计算!Z133, "#.00")</f>
        <v>1</v>
      </c>
      <c r="AA135" s="65" t="b">
        <f>TEXT(导出!AA133,"#.00")=TEXT(计算!AA133*100, "#.00")</f>
        <v>1</v>
      </c>
      <c r="AB135" s="65" t="b">
        <f>TEXT(导出!AB133,"#.00")=TEXT(计算!AB133, "#.00")</f>
        <v>1</v>
      </c>
      <c r="AC135" s="65" t="b">
        <f>TEXT(导出!AC133,"#.00")=TEXT(计算!AC133, "#.00")</f>
        <v>1</v>
      </c>
      <c r="AD135" s="65" t="b">
        <f>TEXT(导出!AD133,"#.00")=TEXT(计算!AD133, "#.00")</f>
        <v>1</v>
      </c>
      <c r="AE135" s="65" t="b">
        <f>ABS(导出!AE133-计算!AE133)&lt;10</f>
        <v>1</v>
      </c>
      <c r="AF135" s="65" t="b">
        <f>TEXT(ABS(导出!AF133),"#.00")=TEXT(ABS(计算!AF133), "#.00")</f>
        <v>1</v>
      </c>
      <c r="AG135" s="65" t="b">
        <f>TEXT(导出!AG133,"#.00")=TEXT(计算!AG133, "#.00")</f>
        <v>1</v>
      </c>
      <c r="AH135" s="65" t="b">
        <f>TEXT(导出!AH133,"#.00")=TEXT(计算!AH133, "#.00")</f>
        <v>1</v>
      </c>
      <c r="AI135">
        <v>0</v>
      </c>
      <c r="AJ135" s="3">
        <v>41912.6862384259</v>
      </c>
      <c r="AK135" s="2" t="s">
        <v>1930</v>
      </c>
    </row>
    <row r="136" spans="1:37" x14ac:dyDescent="0.15">
      <c r="A136" s="2" t="s">
        <v>1929</v>
      </c>
      <c r="B136">
        <v>156</v>
      </c>
      <c r="C136" s="3">
        <v>41609</v>
      </c>
      <c r="D136" s="2" t="s">
        <v>37</v>
      </c>
      <c r="E136" s="2" t="s">
        <v>1928</v>
      </c>
      <c r="F136" s="2" t="s">
        <v>41</v>
      </c>
      <c r="G136" s="2" t="s">
        <v>316</v>
      </c>
      <c r="H136" s="2" t="s">
        <v>317</v>
      </c>
      <c r="I136" s="65" t="b">
        <f>导出!I134=计算!I134</f>
        <v>1</v>
      </c>
      <c r="J136" s="65" t="b">
        <f>导出!J134=计算!J134</f>
        <v>1</v>
      </c>
      <c r="K136" s="65" t="b">
        <f>导出!K134=计算!K134</f>
        <v>1</v>
      </c>
      <c r="L136" s="65" t="b">
        <f>导出!L134=计算!L134</f>
        <v>1</v>
      </c>
      <c r="M136" s="65" t="b">
        <f>导出!M134=计算!M134</f>
        <v>1</v>
      </c>
      <c r="N136" s="65" t="b">
        <f>TEXT(导出!N134,"#.00")=TEXT(计算!N134, "#.00")</f>
        <v>1</v>
      </c>
      <c r="O136" s="65" t="b">
        <f>TEXT(导出!O134,"#.00")=TEXT(计算!O134, "#.00")</f>
        <v>1</v>
      </c>
      <c r="P136" s="65" t="b">
        <f>TEXT(导出!P134,"#.00")=TEXT(计算!P134, "#.00")</f>
        <v>1</v>
      </c>
      <c r="Q136" s="65" t="b">
        <f>TEXT(导出!Q134,"#.00")=TEXT(计算!Q134, "#.00")</f>
        <v>1</v>
      </c>
      <c r="R136" s="65" t="b">
        <f>TEXT(导出!R134,"#.00")=TEXT(计算!R134, "#.00")</f>
        <v>1</v>
      </c>
      <c r="S136" s="65" t="b">
        <f>TEXT(导出!S134,"#.00")=TEXT(计算!S134, "#.00")</f>
        <v>1</v>
      </c>
      <c r="T136" s="65" t="b">
        <f>TEXT(导出!T134,"#.00")=TEXT(计算!T134, "#.00")</f>
        <v>1</v>
      </c>
      <c r="U136" s="65" t="b">
        <f>TEXT(导出!U134,"#.00")=TEXT(计算!U134, "#.00")</f>
        <v>1</v>
      </c>
      <c r="V136" s="65" t="b">
        <f>TEXT(导出!V134,"#.00")=TEXT(计算!V134*100, "#.00")</f>
        <v>1</v>
      </c>
      <c r="W136" s="65" t="b">
        <f>TEXT(导出!W134,"#.00")=TEXT(计算!W134, "#.00")</f>
        <v>1</v>
      </c>
      <c r="X136" s="65" t="b">
        <f>TEXT(导出!X134,"#.00")=TEXT(计算!X134, "#.00")</f>
        <v>1</v>
      </c>
      <c r="Y136" s="65" t="b">
        <f>TEXT(导出!Y134,"#.00")=TEXT(计算!Y134, "#.00")</f>
        <v>1</v>
      </c>
      <c r="Z136" s="65" t="b">
        <f>TEXT(导出!Z134,"#.00")=TEXT(计算!Z134, "#.00")</f>
        <v>1</v>
      </c>
      <c r="AA136" s="65" t="b">
        <f>TEXT(导出!AA134,"#.00")=TEXT(计算!AA134*100, "#.00")</f>
        <v>1</v>
      </c>
      <c r="AB136" s="65" t="b">
        <f>TEXT(导出!AB134,"#.00")=TEXT(计算!AB134, "#.00")</f>
        <v>1</v>
      </c>
      <c r="AC136" s="65" t="b">
        <f>TEXT(导出!AC134,"#.00")=TEXT(计算!AC134, "#.00")</f>
        <v>1</v>
      </c>
      <c r="AD136" s="65" t="b">
        <f>TEXT(导出!AD134,"#.00")=TEXT(计算!AD134, "#.00")</f>
        <v>1</v>
      </c>
      <c r="AE136" s="65" t="b">
        <f>ABS(导出!AE134-计算!AE134)&lt;10</f>
        <v>1</v>
      </c>
      <c r="AF136" s="65" t="b">
        <f>TEXT(ABS(导出!AF134),"#.00")=TEXT(ABS(计算!AF134), "#.00")</f>
        <v>1</v>
      </c>
      <c r="AG136" s="65" t="b">
        <f>TEXT(导出!AG134,"#.00")=TEXT(计算!AG134, "#.00")</f>
        <v>1</v>
      </c>
      <c r="AH136" s="65" t="b">
        <f>TEXT(导出!AH134,"#.00")=TEXT(计算!AH134, "#.00")</f>
        <v>1</v>
      </c>
      <c r="AI136">
        <v>0</v>
      </c>
      <c r="AJ136" s="3">
        <v>41912.6862384259</v>
      </c>
      <c r="AK136" s="2" t="s">
        <v>1927</v>
      </c>
    </row>
    <row r="137" spans="1:37" x14ac:dyDescent="0.15">
      <c r="A137" s="2" t="s">
        <v>1926</v>
      </c>
      <c r="B137">
        <v>183</v>
      </c>
      <c r="C137" s="3">
        <v>41609</v>
      </c>
      <c r="D137" s="2" t="s">
        <v>37</v>
      </c>
      <c r="E137" s="2" t="s">
        <v>1925</v>
      </c>
      <c r="F137" s="2" t="s">
        <v>41</v>
      </c>
      <c r="G137" s="2" t="s">
        <v>322</v>
      </c>
      <c r="H137" s="2" t="s">
        <v>323</v>
      </c>
      <c r="I137" s="65" t="b">
        <f>导出!I135=计算!I135</f>
        <v>1</v>
      </c>
      <c r="J137" s="65" t="b">
        <f>导出!J135=计算!J135</f>
        <v>1</v>
      </c>
      <c r="K137" s="65" t="b">
        <f>导出!K135=计算!K135</f>
        <v>1</v>
      </c>
      <c r="L137" s="65" t="b">
        <f>导出!L135=计算!L135</f>
        <v>1</v>
      </c>
      <c r="M137" s="65" t="b">
        <f>导出!M135=计算!M135</f>
        <v>1</v>
      </c>
      <c r="N137" s="65" t="b">
        <f>TEXT(导出!N135,"#.00")=TEXT(计算!N135, "#.00")</f>
        <v>1</v>
      </c>
      <c r="O137" s="65" t="b">
        <f>TEXT(导出!O135,"#.00")=TEXT(计算!O135, "#.00")</f>
        <v>1</v>
      </c>
      <c r="P137" s="65" t="b">
        <f>TEXT(导出!P135,"#.00")=TEXT(计算!P135, "#.00")</f>
        <v>1</v>
      </c>
      <c r="Q137" s="65" t="b">
        <f>TEXT(导出!Q135,"#.00")=TEXT(计算!Q135, "#.00")</f>
        <v>1</v>
      </c>
      <c r="R137" s="65" t="b">
        <f>TEXT(导出!R135,"#.00")=TEXT(计算!R135, "#.00")</f>
        <v>1</v>
      </c>
      <c r="S137" s="65" t="b">
        <f>TEXT(导出!S135,"#.00")=TEXT(计算!S135, "#.00")</f>
        <v>1</v>
      </c>
      <c r="T137" s="65" t="b">
        <f>TEXT(导出!T135,"#.00")=TEXT(计算!T135, "#.00")</f>
        <v>1</v>
      </c>
      <c r="U137" s="65" t="b">
        <f>TEXT(导出!U135,"#.00")=TEXT(计算!U135, "#.00")</f>
        <v>1</v>
      </c>
      <c r="V137" s="65" t="b">
        <f>TEXT(导出!V135,"#.00")=TEXT(计算!V135*100, "#.00")</f>
        <v>1</v>
      </c>
      <c r="W137" s="65" t="b">
        <f>TEXT(导出!W135,"#.00")=TEXT(计算!W135, "#.00")</f>
        <v>1</v>
      </c>
      <c r="X137" s="65" t="b">
        <f>TEXT(导出!X135,"#.00")=TEXT(计算!X135, "#.00")</f>
        <v>1</v>
      </c>
      <c r="Y137" s="65" t="b">
        <f>TEXT(导出!Y135,"#.00")=TEXT(计算!Y135, "#.00")</f>
        <v>1</v>
      </c>
      <c r="Z137" s="65" t="b">
        <f>TEXT(导出!Z135,"#.00")=TEXT(计算!Z135, "#.00")</f>
        <v>1</v>
      </c>
      <c r="AA137" s="65" t="b">
        <f>TEXT(导出!AA135,"#.00")=TEXT(计算!AA135*100, "#.00")</f>
        <v>1</v>
      </c>
      <c r="AB137" s="65" t="b">
        <f>TEXT(导出!AB135,"#.00")=TEXT(计算!AB135, "#.00")</f>
        <v>1</v>
      </c>
      <c r="AC137" s="65" t="b">
        <f>TEXT(导出!AC135,"#.00")=TEXT(计算!AC135, "#.00")</f>
        <v>1</v>
      </c>
      <c r="AD137" s="65" t="b">
        <f>TEXT(导出!AD135,"#.00")=TEXT(计算!AD135, "#.00")</f>
        <v>1</v>
      </c>
      <c r="AE137" s="65" t="b">
        <f>ABS(导出!AE135-计算!AE135)&lt;10</f>
        <v>1</v>
      </c>
      <c r="AF137" s="65" t="b">
        <f>TEXT(ABS(导出!AF135),"#.00")=TEXT(ABS(计算!AF135), "#.00")</f>
        <v>1</v>
      </c>
      <c r="AG137" s="65" t="b">
        <f>TEXT(导出!AG135,"#.00")=TEXT(计算!AG135, "#.00")</f>
        <v>1</v>
      </c>
      <c r="AH137" s="65" t="b">
        <f>TEXT(导出!AH135,"#.00")=TEXT(计算!AH135, "#.00")</f>
        <v>1</v>
      </c>
      <c r="AI137">
        <v>0</v>
      </c>
      <c r="AJ137" s="3">
        <v>41912.6862384259</v>
      </c>
      <c r="AK137" s="2" t="s">
        <v>1924</v>
      </c>
    </row>
    <row r="138" spans="1:37" x14ac:dyDescent="0.15">
      <c r="A138" s="2" t="s">
        <v>1923</v>
      </c>
      <c r="B138">
        <v>197</v>
      </c>
      <c r="C138" s="3">
        <v>41609</v>
      </c>
      <c r="D138" s="2" t="s">
        <v>37</v>
      </c>
      <c r="E138" s="2" t="s">
        <v>1922</v>
      </c>
      <c r="F138" s="2" t="s">
        <v>41</v>
      </c>
      <c r="G138" s="2" t="s">
        <v>320</v>
      </c>
      <c r="H138" s="2" t="s">
        <v>321</v>
      </c>
      <c r="I138" s="65" t="b">
        <f>导出!I136=计算!I136</f>
        <v>1</v>
      </c>
      <c r="J138" s="65" t="b">
        <f>导出!J136=计算!J136</f>
        <v>1</v>
      </c>
      <c r="K138" s="65" t="b">
        <f>导出!K136=计算!K136</f>
        <v>1</v>
      </c>
      <c r="L138" s="65" t="b">
        <f>导出!L136=计算!L136</f>
        <v>1</v>
      </c>
      <c r="M138" s="65" t="b">
        <f>导出!M136=计算!M136</f>
        <v>1</v>
      </c>
      <c r="N138" s="65" t="b">
        <f>TEXT(导出!N136,"#.00")=TEXT(计算!N136, "#.00")</f>
        <v>1</v>
      </c>
      <c r="O138" s="65" t="b">
        <f>TEXT(导出!O136,"#.00")=TEXT(计算!O136, "#.00")</f>
        <v>1</v>
      </c>
      <c r="P138" s="65" t="b">
        <f>TEXT(导出!P136,"#.00")=TEXT(计算!P136, "#.00")</f>
        <v>1</v>
      </c>
      <c r="Q138" s="65" t="b">
        <f>TEXT(导出!Q136,"#.00")=TEXT(计算!Q136, "#.00")</f>
        <v>1</v>
      </c>
      <c r="R138" s="65" t="b">
        <f>TEXT(导出!R136,"#.00")=TEXT(计算!R136, "#.00")</f>
        <v>1</v>
      </c>
      <c r="S138" s="65" t="b">
        <f>TEXT(导出!S136,"#.00")=TEXT(计算!S136, "#.00")</f>
        <v>1</v>
      </c>
      <c r="T138" s="65" t="b">
        <f>TEXT(导出!T136,"#.00")=TEXT(计算!T136, "#.00")</f>
        <v>1</v>
      </c>
      <c r="U138" s="65" t="b">
        <f>TEXT(导出!U136,"#.00")=TEXT(计算!U136, "#.00")</f>
        <v>1</v>
      </c>
      <c r="V138" s="65" t="b">
        <f>TEXT(导出!V136,"#.00")=TEXT(计算!V136*100, "#.00")</f>
        <v>1</v>
      </c>
      <c r="W138" s="65" t="b">
        <f>TEXT(导出!W136,"#.00")=TEXT(计算!W136, "#.00")</f>
        <v>1</v>
      </c>
      <c r="X138" s="65" t="b">
        <f>TEXT(导出!X136,"#.00")=TEXT(计算!X136, "#.00")</f>
        <v>1</v>
      </c>
      <c r="Y138" s="65" t="b">
        <f>TEXT(导出!Y136,"#.00")=TEXT(计算!Y136, "#.00")</f>
        <v>1</v>
      </c>
      <c r="Z138" s="65" t="b">
        <f>TEXT(导出!Z136,"#.00")=TEXT(计算!Z136, "#.00")</f>
        <v>1</v>
      </c>
      <c r="AA138" s="65" t="b">
        <f>TEXT(导出!AA136,"#.00")=TEXT(计算!AA136*100, "#.00")</f>
        <v>1</v>
      </c>
      <c r="AB138" s="65" t="b">
        <f>TEXT(导出!AB136,"#.00")=TEXT(计算!AB136, "#.00")</f>
        <v>1</v>
      </c>
      <c r="AC138" s="65" t="b">
        <f>TEXT(导出!AC136,"#.00")=TEXT(计算!AC136, "#.00")</f>
        <v>1</v>
      </c>
      <c r="AD138" s="65" t="b">
        <f>TEXT(导出!AD136,"#.00")=TEXT(计算!AD136, "#.00")</f>
        <v>1</v>
      </c>
      <c r="AE138" s="65" t="b">
        <f>ABS(导出!AE136-计算!AE136)&lt;10</f>
        <v>1</v>
      </c>
      <c r="AF138" s="65" t="b">
        <f>TEXT(ABS(导出!AF136),"#.00")=TEXT(ABS(计算!AF136), "#.00")</f>
        <v>1</v>
      </c>
      <c r="AG138" s="65" t="b">
        <f>TEXT(导出!AG136,"#.00")=TEXT(计算!AG136, "#.00")</f>
        <v>1</v>
      </c>
      <c r="AH138" s="65" t="b">
        <f>TEXT(导出!AH136,"#.00")=TEXT(计算!AH136, "#.00")</f>
        <v>1</v>
      </c>
      <c r="AI138">
        <v>0</v>
      </c>
      <c r="AJ138" s="3">
        <v>41912.6862384259</v>
      </c>
      <c r="AK138" s="2" t="s">
        <v>1921</v>
      </c>
    </row>
    <row r="139" spans="1:37" x14ac:dyDescent="0.15">
      <c r="A139" s="2" t="s">
        <v>1920</v>
      </c>
      <c r="B139">
        <v>1043</v>
      </c>
      <c r="C139" s="3">
        <v>41609</v>
      </c>
      <c r="D139" s="2" t="s">
        <v>37</v>
      </c>
      <c r="E139" s="2" t="s">
        <v>1919</v>
      </c>
      <c r="F139" s="2" t="s">
        <v>38</v>
      </c>
      <c r="G139" s="2" t="s">
        <v>312</v>
      </c>
      <c r="H139" s="2" t="s">
        <v>313</v>
      </c>
      <c r="I139" s="65" t="b">
        <f>导出!I137=计算!I137</f>
        <v>1</v>
      </c>
      <c r="J139" s="65" t="b">
        <f>导出!J137=计算!J137</f>
        <v>1</v>
      </c>
      <c r="K139" s="65" t="b">
        <f>导出!K137=计算!K137</f>
        <v>1</v>
      </c>
      <c r="L139" s="65" t="b">
        <f>导出!L137=计算!L137</f>
        <v>1</v>
      </c>
      <c r="M139" s="65" t="b">
        <f>导出!M137=计算!M137</f>
        <v>1</v>
      </c>
      <c r="N139" s="65" t="b">
        <f>TEXT(导出!N137,"#.00")=TEXT(计算!N137, "#.00")</f>
        <v>1</v>
      </c>
      <c r="O139" s="65" t="b">
        <f>TEXT(导出!O137,"#.00")=TEXT(计算!O137, "#.00")</f>
        <v>1</v>
      </c>
      <c r="P139" s="65" t="b">
        <f>TEXT(导出!P137,"#.00")=TEXT(计算!P137, "#.00")</f>
        <v>1</v>
      </c>
      <c r="Q139" s="65" t="b">
        <f>TEXT(导出!Q137,"#.00")=TEXT(计算!Q137, "#.00")</f>
        <v>1</v>
      </c>
      <c r="R139" s="65" t="b">
        <f>TEXT(导出!R137,"#.00")=TEXT(计算!R137, "#.00")</f>
        <v>1</v>
      </c>
      <c r="S139" s="65" t="b">
        <f>TEXT(导出!S137,"#.00")=TEXT(计算!S137, "#.00")</f>
        <v>1</v>
      </c>
      <c r="T139" s="65" t="b">
        <f>TEXT(导出!T137,"#.00")=TEXT(计算!T137, "#.00")</f>
        <v>1</v>
      </c>
      <c r="U139" s="65" t="b">
        <f>TEXT(导出!U137,"#.00")=TEXT(计算!U137, "#.00")</f>
        <v>1</v>
      </c>
      <c r="V139" s="65" t="b">
        <f>TEXT(导出!V137,"#.00")=TEXT(计算!V137*100, "#.00")</f>
        <v>1</v>
      </c>
      <c r="W139" s="65" t="b">
        <f>TEXT(导出!W137,"#.00")=TEXT(计算!W137, "#.00")</f>
        <v>1</v>
      </c>
      <c r="X139" s="65" t="b">
        <f>TEXT(导出!X137,"#.00")=TEXT(计算!X137, "#.00")</f>
        <v>1</v>
      </c>
      <c r="Y139" s="65" t="b">
        <f>TEXT(导出!Y137,"#.00")=TEXT(计算!Y137, "#.00")</f>
        <v>1</v>
      </c>
      <c r="Z139" s="65" t="b">
        <f>TEXT(导出!Z137,"#.00")=TEXT(计算!Z137, "#.00")</f>
        <v>1</v>
      </c>
      <c r="AA139" s="65" t="b">
        <f>TEXT(导出!AA137,"#.00")=TEXT(计算!AA137*100, "#.00")</f>
        <v>1</v>
      </c>
      <c r="AB139" s="65" t="b">
        <f>TEXT(导出!AB137,"#.00")=TEXT(计算!AB137, "#.00")</f>
        <v>1</v>
      </c>
      <c r="AC139" s="65" t="b">
        <f>TEXT(导出!AC137,"#.00")=TEXT(计算!AC137, "#.00")</f>
        <v>1</v>
      </c>
      <c r="AD139" s="65" t="b">
        <f>TEXT(导出!AD137,"#.00")=TEXT(计算!AD137, "#.00")</f>
        <v>1</v>
      </c>
      <c r="AE139" s="65" t="b">
        <f>ABS(导出!AE137-计算!AE137)&lt;10</f>
        <v>1</v>
      </c>
      <c r="AF139" s="65" t="b">
        <f>TEXT(ABS(导出!AF137),"#.00")=TEXT(ABS(计算!AF137), "#.00")</f>
        <v>1</v>
      </c>
      <c r="AG139" s="65" t="b">
        <f>TEXT(导出!AG137,"#.00")=TEXT(计算!AG137, "#.00")</f>
        <v>1</v>
      </c>
      <c r="AH139" s="65" t="b">
        <f>TEXT(导出!AH137,"#.00")=TEXT(计算!AH137, "#.00")</f>
        <v>1</v>
      </c>
      <c r="AI139">
        <v>0</v>
      </c>
      <c r="AJ139" s="3">
        <v>41912.6862847222</v>
      </c>
      <c r="AK139" s="2" t="s">
        <v>1918</v>
      </c>
    </row>
    <row r="140" spans="1:37" x14ac:dyDescent="0.15">
      <c r="A140" s="2" t="s">
        <v>1917</v>
      </c>
      <c r="B140">
        <v>211</v>
      </c>
      <c r="C140" s="3">
        <v>41609</v>
      </c>
      <c r="D140" s="2" t="s">
        <v>37</v>
      </c>
      <c r="E140" s="2" t="s">
        <v>1916</v>
      </c>
      <c r="F140" s="2" t="s">
        <v>41</v>
      </c>
      <c r="G140" s="2" t="s">
        <v>326</v>
      </c>
      <c r="H140" s="2" t="s">
        <v>327</v>
      </c>
      <c r="I140" s="65" t="b">
        <f>导出!I138=计算!I138</f>
        <v>1</v>
      </c>
      <c r="J140" s="65" t="b">
        <f>导出!J138=计算!J138</f>
        <v>1</v>
      </c>
      <c r="K140" s="65" t="b">
        <f>导出!K138=计算!K138</f>
        <v>1</v>
      </c>
      <c r="L140" s="65" t="b">
        <f>导出!L138=计算!L138</f>
        <v>1</v>
      </c>
      <c r="M140" s="65" t="b">
        <f>导出!M138=计算!M138</f>
        <v>1</v>
      </c>
      <c r="N140" s="65" t="b">
        <f>TEXT(导出!N138,"#.00")=TEXT(计算!N138, "#.00")</f>
        <v>1</v>
      </c>
      <c r="O140" s="65" t="b">
        <f>TEXT(导出!O138,"#.00")=TEXT(计算!O138, "#.00")</f>
        <v>1</v>
      </c>
      <c r="P140" s="65" t="b">
        <f>TEXT(导出!P138,"#.00")=TEXT(计算!P138, "#.00")</f>
        <v>1</v>
      </c>
      <c r="Q140" s="65" t="b">
        <f>TEXT(导出!Q138,"#.00")=TEXT(计算!Q138, "#.00")</f>
        <v>1</v>
      </c>
      <c r="R140" s="65" t="b">
        <f>TEXT(导出!R138,"#.00")=TEXT(计算!R138, "#.00")</f>
        <v>1</v>
      </c>
      <c r="S140" s="65" t="b">
        <f>TEXT(导出!S138,"#.00")=TEXT(计算!S138, "#.00")</f>
        <v>1</v>
      </c>
      <c r="T140" s="65" t="b">
        <f>TEXT(导出!T138,"#.00")=TEXT(计算!T138, "#.00")</f>
        <v>1</v>
      </c>
      <c r="U140" s="65" t="b">
        <f>TEXT(导出!U138,"#.00")=TEXT(计算!U138, "#.00")</f>
        <v>1</v>
      </c>
      <c r="V140" s="65" t="b">
        <f>TEXT(导出!V138,"#.00")=TEXT(计算!V138*100, "#.00")</f>
        <v>1</v>
      </c>
      <c r="W140" s="65" t="b">
        <f>TEXT(导出!W138,"#.00")=TEXT(计算!W138, "#.00")</f>
        <v>1</v>
      </c>
      <c r="X140" s="65" t="b">
        <f>TEXT(导出!X138,"#.00")=TEXT(计算!X138, "#.00")</f>
        <v>1</v>
      </c>
      <c r="Y140" s="65" t="b">
        <f>TEXT(导出!Y138,"#.00")=TEXT(计算!Y138, "#.00")</f>
        <v>1</v>
      </c>
      <c r="Z140" s="65" t="b">
        <f>TEXT(导出!Z138,"#.00")=TEXT(计算!Z138, "#.00")</f>
        <v>1</v>
      </c>
      <c r="AA140" s="65" t="b">
        <f>TEXT(导出!AA138,"#.00")=TEXT(计算!AA138*100, "#.00")</f>
        <v>1</v>
      </c>
      <c r="AB140" s="65" t="b">
        <f>TEXT(导出!AB138,"#.00")=TEXT(计算!AB138, "#.00")</f>
        <v>1</v>
      </c>
      <c r="AC140" s="65" t="b">
        <f>TEXT(导出!AC138,"#.00")=TEXT(计算!AC138, "#.00")</f>
        <v>1</v>
      </c>
      <c r="AD140" s="65" t="b">
        <f>TEXT(导出!AD138,"#.00")=TEXT(计算!AD138, "#.00")</f>
        <v>1</v>
      </c>
      <c r="AE140" s="65" t="b">
        <f>ABS(导出!AE138-计算!AE138)&lt;10</f>
        <v>1</v>
      </c>
      <c r="AF140" s="65" t="b">
        <f>TEXT(ABS(导出!AF138),"#.00")=TEXT(ABS(计算!AF138), "#.00")</f>
        <v>1</v>
      </c>
      <c r="AG140" s="65" t="b">
        <f>TEXT(导出!AG138,"#.00")=TEXT(计算!AG138, "#.00")</f>
        <v>1</v>
      </c>
      <c r="AH140" s="65" t="b">
        <f>TEXT(导出!AH138,"#.00")=TEXT(计算!AH138, "#.00")</f>
        <v>1</v>
      </c>
      <c r="AI140">
        <v>0</v>
      </c>
      <c r="AJ140" s="3">
        <v>41912.6862384259</v>
      </c>
      <c r="AK140" s="2" t="s">
        <v>1915</v>
      </c>
    </row>
    <row r="141" spans="1:37" x14ac:dyDescent="0.15">
      <c r="A141" s="2" t="s">
        <v>1914</v>
      </c>
      <c r="B141">
        <v>173</v>
      </c>
      <c r="C141" s="3">
        <v>41609</v>
      </c>
      <c r="D141" s="2" t="s">
        <v>37</v>
      </c>
      <c r="E141" s="2" t="s">
        <v>1913</v>
      </c>
      <c r="F141" s="2" t="s">
        <v>41</v>
      </c>
      <c r="G141" s="2" t="s">
        <v>330</v>
      </c>
      <c r="H141" s="2" t="s">
        <v>331</v>
      </c>
      <c r="I141" s="65" t="b">
        <f>导出!I139=计算!I139</f>
        <v>1</v>
      </c>
      <c r="J141" s="65" t="b">
        <f>导出!J139=计算!J139</f>
        <v>1</v>
      </c>
      <c r="K141" s="65" t="b">
        <f>导出!K139=计算!K139</f>
        <v>1</v>
      </c>
      <c r="L141" s="65" t="b">
        <f>导出!L139=计算!L139</f>
        <v>1</v>
      </c>
      <c r="M141" s="65" t="b">
        <f>导出!M139=计算!M139</f>
        <v>1</v>
      </c>
      <c r="N141" s="65" t="b">
        <f>TEXT(导出!N139,"#.00")=TEXT(计算!N139, "#.00")</f>
        <v>1</v>
      </c>
      <c r="O141" s="65" t="b">
        <f>TEXT(导出!O139,"#.00")=TEXT(计算!O139, "#.00")</f>
        <v>1</v>
      </c>
      <c r="P141" s="65" t="b">
        <f>TEXT(导出!P139,"#.00")=TEXT(计算!P139, "#.00")</f>
        <v>1</v>
      </c>
      <c r="Q141" s="65" t="b">
        <f>TEXT(导出!Q139,"#.00")=TEXT(计算!Q139, "#.00")</f>
        <v>1</v>
      </c>
      <c r="R141" s="65" t="b">
        <f>TEXT(导出!R139,"#.00")=TEXT(计算!R139, "#.00")</f>
        <v>1</v>
      </c>
      <c r="S141" s="65" t="b">
        <f>TEXT(导出!S139,"#.00")=TEXT(计算!S139, "#.00")</f>
        <v>1</v>
      </c>
      <c r="T141" s="65" t="b">
        <f>TEXT(导出!T139,"#.00")=TEXT(计算!T139, "#.00")</f>
        <v>1</v>
      </c>
      <c r="U141" s="65" t="b">
        <f>TEXT(导出!U139,"#.00")=TEXT(计算!U139, "#.00")</f>
        <v>1</v>
      </c>
      <c r="V141" s="65" t="b">
        <f>TEXT(导出!V139,"#.00")=TEXT(计算!V139*100, "#.00")</f>
        <v>1</v>
      </c>
      <c r="W141" s="65" t="b">
        <f>TEXT(导出!W139,"#.00")=TEXT(计算!W139, "#.00")</f>
        <v>1</v>
      </c>
      <c r="X141" s="65" t="b">
        <f>TEXT(导出!X139,"#.00")=TEXT(计算!X139, "#.00")</f>
        <v>1</v>
      </c>
      <c r="Y141" s="65" t="b">
        <f>TEXT(导出!Y139,"#.00")=TEXT(计算!Y139, "#.00")</f>
        <v>1</v>
      </c>
      <c r="Z141" s="65" t="b">
        <f>TEXT(导出!Z139,"#.00")=TEXT(计算!Z139, "#.00")</f>
        <v>1</v>
      </c>
      <c r="AA141" s="65" t="b">
        <f>TEXT(导出!AA139,"#.00")=TEXT(计算!AA139*100, "#.00")</f>
        <v>1</v>
      </c>
      <c r="AB141" s="65" t="b">
        <f>TEXT(导出!AB139,"#.00")=TEXT(计算!AB139, "#.00")</f>
        <v>1</v>
      </c>
      <c r="AC141" s="65" t="b">
        <f>TEXT(导出!AC139,"#.00")=TEXT(计算!AC139, "#.00")</f>
        <v>1</v>
      </c>
      <c r="AD141" s="65" t="b">
        <f>TEXT(导出!AD139,"#.00")=TEXT(计算!AD139, "#.00")</f>
        <v>1</v>
      </c>
      <c r="AE141" s="65" t="b">
        <f>ABS(导出!AE139-计算!AE139)&lt;10</f>
        <v>1</v>
      </c>
      <c r="AF141" s="65" t="b">
        <f>TEXT(ABS(导出!AF139),"#.00")=TEXT(ABS(计算!AF139), "#.00")</f>
        <v>1</v>
      </c>
      <c r="AG141" s="65" t="b">
        <f>TEXT(导出!AG139,"#.00")=TEXT(计算!AG139, "#.00")</f>
        <v>1</v>
      </c>
      <c r="AH141" s="65" t="b">
        <f>TEXT(导出!AH139,"#.00")=TEXT(计算!AH139, "#.00")</f>
        <v>1</v>
      </c>
      <c r="AI141">
        <v>0</v>
      </c>
      <c r="AJ141" s="3">
        <v>41912.6862384259</v>
      </c>
      <c r="AK141" s="2" t="s">
        <v>1912</v>
      </c>
    </row>
    <row r="142" spans="1:37" x14ac:dyDescent="0.15">
      <c r="A142" s="2" t="s">
        <v>1911</v>
      </c>
      <c r="B142">
        <v>161</v>
      </c>
      <c r="C142" s="3">
        <v>41609</v>
      </c>
      <c r="D142" s="2" t="s">
        <v>37</v>
      </c>
      <c r="E142" s="2" t="s">
        <v>1910</v>
      </c>
      <c r="F142" s="2" t="s">
        <v>41</v>
      </c>
      <c r="G142" s="2" t="s">
        <v>328</v>
      </c>
      <c r="H142" s="2" t="s">
        <v>329</v>
      </c>
      <c r="I142" s="65" t="b">
        <f>导出!I140=计算!I140</f>
        <v>1</v>
      </c>
      <c r="J142" s="65" t="b">
        <f>导出!J140=计算!J140</f>
        <v>1</v>
      </c>
      <c r="K142" s="65" t="b">
        <f>导出!K140=计算!K140</f>
        <v>1</v>
      </c>
      <c r="L142" s="65" t="b">
        <f>导出!L140=计算!L140</f>
        <v>1</v>
      </c>
      <c r="M142" s="65" t="b">
        <f>导出!M140=计算!M140</f>
        <v>1</v>
      </c>
      <c r="N142" s="65" t="b">
        <f>TEXT(导出!N140,"#.00")=TEXT(计算!N140, "#.00")</f>
        <v>1</v>
      </c>
      <c r="O142" s="65" t="b">
        <f>TEXT(导出!O140,"#.00")=TEXT(计算!O140, "#.00")</f>
        <v>1</v>
      </c>
      <c r="P142" s="65" t="b">
        <f>TEXT(导出!P140,"#.00")=TEXT(计算!P140, "#.00")</f>
        <v>1</v>
      </c>
      <c r="Q142" s="65" t="b">
        <f>TEXT(导出!Q140,"#.00")=TEXT(计算!Q140, "#.00")</f>
        <v>1</v>
      </c>
      <c r="R142" s="65" t="b">
        <f>TEXT(导出!R140,"#.00")=TEXT(计算!R140, "#.00")</f>
        <v>1</v>
      </c>
      <c r="S142" s="65" t="b">
        <f>TEXT(导出!S140,"#.00")=TEXT(计算!S140, "#.00")</f>
        <v>1</v>
      </c>
      <c r="T142" s="65" t="b">
        <f>TEXT(导出!T140,"#.00")=TEXT(计算!T140, "#.00")</f>
        <v>1</v>
      </c>
      <c r="U142" s="65" t="b">
        <f>TEXT(导出!U140,"#.00")=TEXT(计算!U140, "#.00")</f>
        <v>1</v>
      </c>
      <c r="V142" s="65" t="b">
        <f>TEXT(导出!V140,"#.00")=TEXT(计算!V140*100, "#.00")</f>
        <v>1</v>
      </c>
      <c r="W142" s="65" t="b">
        <f>TEXT(导出!W140,"#.00")=TEXT(计算!W140, "#.00")</f>
        <v>1</v>
      </c>
      <c r="X142" s="65" t="b">
        <f>TEXT(导出!X140,"#.00")=TEXT(计算!X140, "#.00")</f>
        <v>1</v>
      </c>
      <c r="Y142" s="65" t="b">
        <f>TEXT(导出!Y140,"#.00")=TEXT(计算!Y140, "#.00")</f>
        <v>1</v>
      </c>
      <c r="Z142" s="65" t="b">
        <f>TEXT(导出!Z140,"#.00")=TEXT(计算!Z140, "#.00")</f>
        <v>1</v>
      </c>
      <c r="AA142" s="65" t="b">
        <f>TEXT(导出!AA140,"#.00")=TEXT(计算!AA140*100, "#.00")</f>
        <v>1</v>
      </c>
      <c r="AB142" s="65" t="b">
        <f>TEXT(导出!AB140,"#.00")=TEXT(计算!AB140, "#.00")</f>
        <v>1</v>
      </c>
      <c r="AC142" s="65" t="b">
        <f>TEXT(导出!AC140,"#.00")=TEXT(计算!AC140, "#.00")</f>
        <v>1</v>
      </c>
      <c r="AD142" s="65" t="b">
        <f>TEXT(导出!AD140,"#.00")=TEXT(计算!AD140, "#.00")</f>
        <v>1</v>
      </c>
      <c r="AE142" s="65" t="b">
        <f>ABS(导出!AE140-计算!AE140)&lt;10</f>
        <v>1</v>
      </c>
      <c r="AF142" s="65" t="b">
        <f>TEXT(ABS(导出!AF140),"#.00")=TEXT(ABS(计算!AF140), "#.00")</f>
        <v>1</v>
      </c>
      <c r="AG142" s="65" t="b">
        <f>TEXT(导出!AG140,"#.00")=TEXT(计算!AG140, "#.00")</f>
        <v>1</v>
      </c>
      <c r="AH142" s="65" t="b">
        <f>TEXT(导出!AH140,"#.00")=TEXT(计算!AH140, "#.00")</f>
        <v>1</v>
      </c>
      <c r="AI142">
        <v>0</v>
      </c>
      <c r="AJ142" s="3">
        <v>41912.6862384259</v>
      </c>
      <c r="AK142" s="2" t="s">
        <v>1909</v>
      </c>
    </row>
    <row r="143" spans="1:37" x14ac:dyDescent="0.15">
      <c r="A143" s="2" t="s">
        <v>1908</v>
      </c>
      <c r="B143">
        <v>187</v>
      </c>
      <c r="C143" s="3">
        <v>41609</v>
      </c>
      <c r="D143" s="2" t="s">
        <v>37</v>
      </c>
      <c r="E143" s="2" t="s">
        <v>1907</v>
      </c>
      <c r="F143" s="2" t="s">
        <v>41</v>
      </c>
      <c r="G143" s="2" t="s">
        <v>334</v>
      </c>
      <c r="H143" s="2" t="s">
        <v>335</v>
      </c>
      <c r="I143" s="65" t="b">
        <f>导出!I141=计算!I141</f>
        <v>1</v>
      </c>
      <c r="J143" s="65" t="b">
        <f>导出!J141=计算!J141</f>
        <v>1</v>
      </c>
      <c r="K143" s="65" t="b">
        <f>导出!K141=计算!K141</f>
        <v>1</v>
      </c>
      <c r="L143" s="65" t="b">
        <f>导出!L141=计算!L141</f>
        <v>1</v>
      </c>
      <c r="M143" s="65" t="b">
        <f>导出!M141=计算!M141</f>
        <v>1</v>
      </c>
      <c r="N143" s="65" t="b">
        <f>TEXT(导出!N141,"#.00")=TEXT(计算!N141, "#.00")</f>
        <v>1</v>
      </c>
      <c r="O143" s="65" t="b">
        <f>TEXT(导出!O141,"#.00")=TEXT(计算!O141, "#.00")</f>
        <v>1</v>
      </c>
      <c r="P143" s="65" t="b">
        <f>TEXT(导出!P141,"#.00")=TEXT(计算!P141, "#.00")</f>
        <v>1</v>
      </c>
      <c r="Q143" s="65" t="b">
        <f>TEXT(导出!Q141,"#.00")=TEXT(计算!Q141, "#.00")</f>
        <v>1</v>
      </c>
      <c r="R143" s="65" t="b">
        <f>TEXT(导出!R141,"#.00")=TEXT(计算!R141, "#.00")</f>
        <v>1</v>
      </c>
      <c r="S143" s="65" t="b">
        <f>TEXT(导出!S141,"#.00")=TEXT(计算!S141, "#.00")</f>
        <v>1</v>
      </c>
      <c r="T143" s="65" t="b">
        <f>TEXT(导出!T141,"#.00")=TEXT(计算!T141, "#.00")</f>
        <v>1</v>
      </c>
      <c r="U143" s="65" t="b">
        <f>TEXT(导出!U141,"#.00")=TEXT(计算!U141, "#.00")</f>
        <v>1</v>
      </c>
      <c r="V143" s="65" t="b">
        <f>TEXT(导出!V141,"#.00")=TEXT(计算!V141*100, "#.00")</f>
        <v>1</v>
      </c>
      <c r="W143" s="65" t="b">
        <f>TEXT(导出!W141,"#.00")=TEXT(计算!W141, "#.00")</f>
        <v>1</v>
      </c>
      <c r="X143" s="65" t="b">
        <f>TEXT(导出!X141,"#.00")=TEXT(计算!X141, "#.00")</f>
        <v>1</v>
      </c>
      <c r="Y143" s="65" t="b">
        <f>TEXT(导出!Y141,"#.00")=TEXT(计算!Y141, "#.00")</f>
        <v>1</v>
      </c>
      <c r="Z143" s="65" t="b">
        <f>TEXT(导出!Z141,"#.00")=TEXT(计算!Z141, "#.00")</f>
        <v>1</v>
      </c>
      <c r="AA143" s="65" t="b">
        <f>TEXT(导出!AA141,"#.00")=TEXT(计算!AA141*100, "#.00")</f>
        <v>1</v>
      </c>
      <c r="AB143" s="65" t="b">
        <f>TEXT(导出!AB141,"#.00")=TEXT(计算!AB141, "#.00")</f>
        <v>1</v>
      </c>
      <c r="AC143" s="65" t="b">
        <f>TEXT(导出!AC141,"#.00")=TEXT(计算!AC141, "#.00")</f>
        <v>1</v>
      </c>
      <c r="AD143" s="65" t="b">
        <f>TEXT(导出!AD141,"#.00")=TEXT(计算!AD141, "#.00")</f>
        <v>1</v>
      </c>
      <c r="AE143" s="65" t="b">
        <f>ABS(导出!AE141-计算!AE141)&lt;10</f>
        <v>1</v>
      </c>
      <c r="AF143" s="65" t="b">
        <f>TEXT(ABS(导出!AF141),"#.00")=TEXT(ABS(计算!AF141), "#.00")</f>
        <v>1</v>
      </c>
      <c r="AG143" s="65" t="b">
        <f>TEXT(导出!AG141,"#.00")=TEXT(计算!AG141, "#.00")</f>
        <v>1</v>
      </c>
      <c r="AH143" s="65" t="b">
        <f>TEXT(导出!AH141,"#.00")=TEXT(计算!AH141, "#.00")</f>
        <v>1</v>
      </c>
      <c r="AI143">
        <v>0</v>
      </c>
      <c r="AJ143" s="3">
        <v>41912.6862384259</v>
      </c>
      <c r="AK143" s="2" t="s">
        <v>1906</v>
      </c>
    </row>
    <row r="144" spans="1:37" x14ac:dyDescent="0.15">
      <c r="A144" s="2" t="s">
        <v>1905</v>
      </c>
      <c r="B144">
        <v>202</v>
      </c>
      <c r="C144" s="3">
        <v>41609</v>
      </c>
      <c r="D144" s="2" t="s">
        <v>37</v>
      </c>
      <c r="E144" s="2" t="s">
        <v>1904</v>
      </c>
      <c r="F144" s="2" t="s">
        <v>41</v>
      </c>
      <c r="G144" s="2" t="s">
        <v>332</v>
      </c>
      <c r="H144" s="2" t="s">
        <v>333</v>
      </c>
      <c r="I144" s="65" t="b">
        <f>导出!I142=计算!I142</f>
        <v>1</v>
      </c>
      <c r="J144" s="65" t="b">
        <f>导出!J142=计算!J142</f>
        <v>1</v>
      </c>
      <c r="K144" s="65" t="b">
        <f>导出!K142=计算!K142</f>
        <v>1</v>
      </c>
      <c r="L144" s="65" t="b">
        <f>导出!L142=计算!L142</f>
        <v>1</v>
      </c>
      <c r="M144" s="65" t="b">
        <f>导出!M142=计算!M142</f>
        <v>1</v>
      </c>
      <c r="N144" s="65" t="b">
        <f>TEXT(导出!N142,"#.00")=TEXT(计算!N142, "#.00")</f>
        <v>1</v>
      </c>
      <c r="O144" s="65" t="b">
        <f>TEXT(导出!O142,"#.00")=TEXT(计算!O142, "#.00")</f>
        <v>1</v>
      </c>
      <c r="P144" s="65" t="b">
        <f>TEXT(导出!P142,"#.00")=TEXT(计算!P142, "#.00")</f>
        <v>1</v>
      </c>
      <c r="Q144" s="65" t="b">
        <f>TEXT(导出!Q142,"#.00")=TEXT(计算!Q142, "#.00")</f>
        <v>1</v>
      </c>
      <c r="R144" s="65" t="b">
        <f>TEXT(导出!R142,"#.00")=TEXT(计算!R142, "#.00")</f>
        <v>1</v>
      </c>
      <c r="S144" s="65" t="b">
        <f>TEXT(导出!S142,"#.00")=TEXT(计算!S142, "#.00")</f>
        <v>1</v>
      </c>
      <c r="T144" s="65" t="b">
        <f>TEXT(导出!T142,"#.00")=TEXT(计算!T142, "#.00")</f>
        <v>1</v>
      </c>
      <c r="U144" s="65" t="b">
        <f>TEXT(导出!U142,"#.00")=TEXT(计算!U142, "#.00")</f>
        <v>1</v>
      </c>
      <c r="V144" s="65" t="b">
        <f>TEXT(导出!V142,"#.00")=TEXT(计算!V142*100, "#.00")</f>
        <v>1</v>
      </c>
      <c r="W144" s="65" t="b">
        <f>TEXT(导出!W142,"#.00")=TEXT(计算!W142, "#.00")</f>
        <v>1</v>
      </c>
      <c r="X144" s="65" t="b">
        <f>TEXT(导出!X142,"#.00")=TEXT(计算!X142, "#.00")</f>
        <v>1</v>
      </c>
      <c r="Y144" s="65" t="b">
        <f>TEXT(导出!Y142,"#.00")=TEXT(计算!Y142, "#.00")</f>
        <v>1</v>
      </c>
      <c r="Z144" s="65" t="b">
        <f>TEXT(导出!Z142,"#.00")=TEXT(计算!Z142, "#.00")</f>
        <v>1</v>
      </c>
      <c r="AA144" s="65" t="b">
        <f>TEXT(导出!AA142,"#.00")=TEXT(计算!AA142*100, "#.00")</f>
        <v>1</v>
      </c>
      <c r="AB144" s="65" t="b">
        <f>TEXT(导出!AB142,"#.00")=TEXT(计算!AB142, "#.00")</f>
        <v>1</v>
      </c>
      <c r="AC144" s="65" t="b">
        <f>TEXT(导出!AC142,"#.00")=TEXT(计算!AC142, "#.00")</f>
        <v>1</v>
      </c>
      <c r="AD144" s="65" t="b">
        <f>TEXT(导出!AD142,"#.00")=TEXT(计算!AD142, "#.00")</f>
        <v>1</v>
      </c>
      <c r="AE144" s="65" t="b">
        <f>ABS(导出!AE142-计算!AE142)&lt;10</f>
        <v>1</v>
      </c>
      <c r="AF144" s="65" t="b">
        <f>TEXT(ABS(导出!AF142),"#.00")=TEXT(ABS(计算!AF142), "#.00")</f>
        <v>1</v>
      </c>
      <c r="AG144" s="65" t="b">
        <f>TEXT(导出!AG142,"#.00")=TEXT(计算!AG142, "#.00")</f>
        <v>1</v>
      </c>
      <c r="AH144" s="65" t="b">
        <f>TEXT(导出!AH142,"#.00")=TEXT(计算!AH142, "#.00")</f>
        <v>1</v>
      </c>
      <c r="AI144">
        <v>0</v>
      </c>
      <c r="AJ144" s="3">
        <v>41912.6862384259</v>
      </c>
      <c r="AK144" s="2" t="s">
        <v>1903</v>
      </c>
    </row>
    <row r="145" spans="1:37" x14ac:dyDescent="0.15">
      <c r="A145" s="2" t="s">
        <v>1902</v>
      </c>
      <c r="B145">
        <v>1052</v>
      </c>
      <c r="C145" s="3">
        <v>41609</v>
      </c>
      <c r="D145" s="2" t="s">
        <v>37</v>
      </c>
      <c r="E145" s="2" t="s">
        <v>1901</v>
      </c>
      <c r="F145" s="2" t="s">
        <v>38</v>
      </c>
      <c r="G145" s="2" t="s">
        <v>324</v>
      </c>
      <c r="H145" s="2" t="s">
        <v>325</v>
      </c>
      <c r="I145" s="65" t="b">
        <f>导出!I143=计算!I143</f>
        <v>1</v>
      </c>
      <c r="J145" s="65" t="b">
        <f>导出!J143=计算!J143</f>
        <v>1</v>
      </c>
      <c r="K145" s="65" t="b">
        <f>导出!K143=计算!K143</f>
        <v>1</v>
      </c>
      <c r="L145" s="65" t="b">
        <f>导出!L143=计算!L143</f>
        <v>1</v>
      </c>
      <c r="M145" s="65" t="b">
        <f>导出!M143=计算!M143</f>
        <v>1</v>
      </c>
      <c r="N145" s="65" t="b">
        <f>TEXT(导出!N143,"#.00")=TEXT(计算!N143, "#.00")</f>
        <v>1</v>
      </c>
      <c r="O145" s="65" t="b">
        <f>TEXT(导出!O143,"#.00")=TEXT(计算!O143, "#.00")</f>
        <v>1</v>
      </c>
      <c r="P145" s="65" t="b">
        <f>TEXT(导出!P143,"#.00")=TEXT(计算!P143, "#.00")</f>
        <v>1</v>
      </c>
      <c r="Q145" s="65" t="b">
        <f>TEXT(导出!Q143,"#.00")=TEXT(计算!Q143, "#.00")</f>
        <v>1</v>
      </c>
      <c r="R145" s="65" t="b">
        <f>TEXT(导出!R143,"#.00")=TEXT(计算!R143, "#.00")</f>
        <v>1</v>
      </c>
      <c r="S145" s="65" t="b">
        <f>TEXT(导出!S143,"#.00")=TEXT(计算!S143, "#.00")</f>
        <v>1</v>
      </c>
      <c r="T145" s="65" t="b">
        <f>TEXT(导出!T143,"#.00")=TEXT(计算!T143, "#.00")</f>
        <v>1</v>
      </c>
      <c r="U145" s="65" t="b">
        <f>TEXT(导出!U143,"#.00")=TEXT(计算!U143, "#.00")</f>
        <v>1</v>
      </c>
      <c r="V145" s="65" t="b">
        <f>TEXT(导出!V143,"#.00")=TEXT(计算!V143*100, "#.00")</f>
        <v>1</v>
      </c>
      <c r="W145" s="65" t="b">
        <f>TEXT(导出!W143,"#.00")=TEXT(计算!W143, "#.00")</f>
        <v>1</v>
      </c>
      <c r="X145" s="65" t="b">
        <f>TEXT(导出!X143,"#.00")=TEXT(计算!X143, "#.00")</f>
        <v>1</v>
      </c>
      <c r="Y145" s="65" t="b">
        <f>TEXT(导出!Y143,"#.00")=TEXT(计算!Y143, "#.00")</f>
        <v>0</v>
      </c>
      <c r="Z145" s="65" t="b">
        <f>TEXT(导出!Z143,"#.00")=TEXT(计算!Z143, "#.00")</f>
        <v>1</v>
      </c>
      <c r="AA145" s="65" t="b">
        <f>TEXT(导出!AA143,"#.00")=TEXT(计算!AA143*100, "#.00")</f>
        <v>1</v>
      </c>
      <c r="AB145" s="65" t="b">
        <f>TEXT(导出!AB143,"#.00")=TEXT(计算!AB143, "#.00")</f>
        <v>1</v>
      </c>
      <c r="AC145" s="65" t="b">
        <f>TEXT(导出!AC143,"#.00")=TEXT(计算!AC143, "#.00")</f>
        <v>1</v>
      </c>
      <c r="AD145" s="65" t="b">
        <f>TEXT(导出!AD143,"#.00")=TEXT(计算!AD143, "#.00")</f>
        <v>1</v>
      </c>
      <c r="AE145" s="65" t="b">
        <f>ABS(导出!AE143-计算!AE143)&lt;10</f>
        <v>1</v>
      </c>
      <c r="AF145" s="65" t="b">
        <f>TEXT(ABS(导出!AF143),"#.00")=TEXT(ABS(计算!AF143), "#.00")</f>
        <v>1</v>
      </c>
      <c r="AG145" s="65" t="b">
        <f>TEXT(导出!AG143,"#.00")=TEXT(计算!AG143, "#.00")</f>
        <v>1</v>
      </c>
      <c r="AH145" s="65" t="b">
        <f>TEXT(导出!AH143,"#.00")=TEXT(计算!AH143, "#.00")</f>
        <v>1</v>
      </c>
      <c r="AI145">
        <v>0</v>
      </c>
      <c r="AJ145" s="3">
        <v>41912.6862847222</v>
      </c>
      <c r="AK145" s="2" t="s">
        <v>1900</v>
      </c>
    </row>
    <row r="146" spans="1:37" x14ac:dyDescent="0.15">
      <c r="A146" s="2" t="s">
        <v>1899</v>
      </c>
      <c r="B146">
        <v>166</v>
      </c>
      <c r="C146" s="3">
        <v>41609</v>
      </c>
      <c r="D146" s="2" t="s">
        <v>37</v>
      </c>
      <c r="E146" s="2" t="s">
        <v>1898</v>
      </c>
      <c r="F146" s="2" t="s">
        <v>41</v>
      </c>
      <c r="G146" s="2" t="s">
        <v>306</v>
      </c>
      <c r="H146" s="2" t="s">
        <v>307</v>
      </c>
      <c r="I146" s="65" t="b">
        <f>导出!I144=计算!I144</f>
        <v>1</v>
      </c>
      <c r="J146" s="65" t="b">
        <f>导出!J144=计算!J144</f>
        <v>1</v>
      </c>
      <c r="K146" s="65" t="b">
        <f>导出!K144=计算!K144</f>
        <v>1</v>
      </c>
      <c r="L146" s="65" t="b">
        <f>导出!L144=计算!L144</f>
        <v>1</v>
      </c>
      <c r="M146" s="65" t="b">
        <f>导出!M144=计算!M144</f>
        <v>1</v>
      </c>
      <c r="N146" s="65" t="b">
        <f>TEXT(导出!N144,"#.00")=TEXT(计算!N144, "#.00")</f>
        <v>1</v>
      </c>
      <c r="O146" s="65" t="b">
        <f>TEXT(导出!O144,"#.00")=TEXT(计算!O144, "#.00")</f>
        <v>1</v>
      </c>
      <c r="P146" s="65" t="b">
        <f>TEXT(导出!P144,"#.00")=TEXT(计算!P144, "#.00")</f>
        <v>1</v>
      </c>
      <c r="Q146" s="65" t="b">
        <f>TEXT(导出!Q144,"#.00")=TEXT(计算!Q144, "#.00")</f>
        <v>1</v>
      </c>
      <c r="R146" s="65" t="b">
        <f>TEXT(导出!R144,"#.00")=TEXT(计算!R144, "#.00")</f>
        <v>1</v>
      </c>
      <c r="S146" s="65" t="b">
        <f>TEXT(导出!S144,"#.00")=TEXT(计算!S144, "#.00")</f>
        <v>1</v>
      </c>
      <c r="T146" s="65" t="b">
        <f>TEXT(导出!T144,"#.00")=TEXT(计算!T144, "#.00")</f>
        <v>1</v>
      </c>
      <c r="U146" s="65" t="b">
        <f>TEXT(导出!U144,"#.00")=TEXT(计算!U144, "#.00")</f>
        <v>1</v>
      </c>
      <c r="V146" s="65" t="b">
        <f>TEXT(导出!V144,"#.00")=TEXT(计算!V144*100, "#.00")</f>
        <v>1</v>
      </c>
      <c r="W146" s="65" t="b">
        <f>TEXT(导出!W144,"#.00")=TEXT(计算!W144, "#.00")</f>
        <v>1</v>
      </c>
      <c r="X146" s="65" t="b">
        <f>TEXT(导出!X144,"#.00")=TEXT(计算!X144, "#.00")</f>
        <v>1</v>
      </c>
      <c r="Y146" s="65" t="b">
        <f>TEXT(导出!Y144,"#.00")=TEXT(计算!Y144, "#.00")</f>
        <v>1</v>
      </c>
      <c r="Z146" s="65" t="b">
        <f>TEXT(导出!Z144,"#.00")=TEXT(计算!Z144, "#.00")</f>
        <v>1</v>
      </c>
      <c r="AA146" s="65" t="b">
        <f>TEXT(导出!AA144,"#.00")=TEXT(计算!AA144*100, "#.00")</f>
        <v>1</v>
      </c>
      <c r="AB146" s="65" t="b">
        <f>TEXT(导出!AB144,"#.00")=TEXT(计算!AB144, "#.00")</f>
        <v>1</v>
      </c>
      <c r="AC146" s="65" t="b">
        <f>TEXT(导出!AC144,"#.00")=TEXT(计算!AC144, "#.00")</f>
        <v>1</v>
      </c>
      <c r="AD146" s="65" t="b">
        <f>TEXT(导出!AD144,"#.00")=TEXT(计算!AD144, "#.00")</f>
        <v>1</v>
      </c>
      <c r="AE146" s="65" t="b">
        <f>ABS(导出!AE144-计算!AE144)&lt;10</f>
        <v>1</v>
      </c>
      <c r="AF146" s="65" t="b">
        <f>TEXT(ABS(导出!AF144),"#.00")=TEXT(ABS(计算!AF144), "#.00")</f>
        <v>1</v>
      </c>
      <c r="AG146" s="65" t="b">
        <f>TEXT(导出!AG144,"#.00")=TEXT(计算!AG144, "#.00")</f>
        <v>1</v>
      </c>
      <c r="AH146" s="65" t="b">
        <f>TEXT(导出!AH144,"#.00")=TEXT(计算!AH144, "#.00")</f>
        <v>1</v>
      </c>
      <c r="AI146">
        <v>0</v>
      </c>
      <c r="AJ146" s="3">
        <v>41912.6862384259</v>
      </c>
      <c r="AK146" s="2" t="s">
        <v>1897</v>
      </c>
    </row>
    <row r="147" spans="1:37" x14ac:dyDescent="0.15">
      <c r="A147" s="2" t="s">
        <v>1896</v>
      </c>
      <c r="B147">
        <v>178</v>
      </c>
      <c r="C147" s="3">
        <v>41609</v>
      </c>
      <c r="D147" s="2" t="s">
        <v>37</v>
      </c>
      <c r="E147" s="2" t="s">
        <v>1895</v>
      </c>
      <c r="F147" s="2" t="s">
        <v>41</v>
      </c>
      <c r="G147" s="2" t="s">
        <v>308</v>
      </c>
      <c r="H147" s="2" t="s">
        <v>309</v>
      </c>
      <c r="I147" s="65" t="b">
        <f>导出!I145=计算!I145</f>
        <v>1</v>
      </c>
      <c r="J147" s="65" t="b">
        <f>导出!J145=计算!J145</f>
        <v>1</v>
      </c>
      <c r="K147" s="65" t="b">
        <f>导出!K145=计算!K145</f>
        <v>1</v>
      </c>
      <c r="L147" s="65" t="b">
        <f>导出!L145=计算!L145</f>
        <v>1</v>
      </c>
      <c r="M147" s="65" t="b">
        <f>导出!M145=计算!M145</f>
        <v>1</v>
      </c>
      <c r="N147" s="65" t="b">
        <f>TEXT(导出!N145,"#.00")=TEXT(计算!N145, "#.00")</f>
        <v>1</v>
      </c>
      <c r="O147" s="65" t="b">
        <f>TEXT(导出!O145,"#.00")=TEXT(计算!O145, "#.00")</f>
        <v>1</v>
      </c>
      <c r="P147" s="65" t="b">
        <f>TEXT(导出!P145,"#.00")=TEXT(计算!P145, "#.00")</f>
        <v>1</v>
      </c>
      <c r="Q147" s="65" t="b">
        <f>TEXT(导出!Q145,"#.00")=TEXT(计算!Q145, "#.00")</f>
        <v>1</v>
      </c>
      <c r="R147" s="65" t="b">
        <f>TEXT(导出!R145,"#.00")=TEXT(计算!R145, "#.00")</f>
        <v>1</v>
      </c>
      <c r="S147" s="65" t="b">
        <f>TEXT(导出!S145,"#.00")=TEXT(计算!S145, "#.00")</f>
        <v>1</v>
      </c>
      <c r="T147" s="65" t="b">
        <f>TEXT(导出!T145,"#.00")=TEXT(计算!T145, "#.00")</f>
        <v>1</v>
      </c>
      <c r="U147" s="65" t="b">
        <f>TEXT(导出!U145,"#.00")=TEXT(计算!U145, "#.00")</f>
        <v>1</v>
      </c>
      <c r="V147" s="65" t="b">
        <f>TEXT(导出!V145,"#.00")=TEXT(计算!V145*100, "#.00")</f>
        <v>1</v>
      </c>
      <c r="W147" s="65" t="b">
        <f>TEXT(导出!W145,"#.00")=TEXT(计算!W145, "#.00")</f>
        <v>1</v>
      </c>
      <c r="X147" s="65" t="b">
        <f>TEXT(导出!X145,"#.00")=TEXT(计算!X145, "#.00")</f>
        <v>1</v>
      </c>
      <c r="Y147" s="65" t="b">
        <f>TEXT(导出!Y145,"#.00")=TEXT(计算!Y145, "#.00")</f>
        <v>1</v>
      </c>
      <c r="Z147" s="65" t="b">
        <f>TEXT(导出!Z145,"#.00")=TEXT(计算!Z145, "#.00")</f>
        <v>1</v>
      </c>
      <c r="AA147" s="65" t="b">
        <f>TEXT(导出!AA145,"#.00")=TEXT(计算!AA145*100, "#.00")</f>
        <v>1</v>
      </c>
      <c r="AB147" s="65" t="b">
        <f>TEXT(导出!AB145,"#.00")=TEXT(计算!AB145, "#.00")</f>
        <v>1</v>
      </c>
      <c r="AC147" s="65" t="b">
        <f>TEXT(导出!AC145,"#.00")=TEXT(计算!AC145, "#.00")</f>
        <v>1</v>
      </c>
      <c r="AD147" s="65" t="b">
        <f>TEXT(导出!AD145,"#.00")=TEXT(计算!AD145, "#.00")</f>
        <v>1</v>
      </c>
      <c r="AE147" s="65" t="b">
        <f>ABS(导出!AE145-计算!AE145)&lt;10</f>
        <v>1</v>
      </c>
      <c r="AF147" s="65" t="b">
        <f>TEXT(ABS(导出!AF145),"#.00")=TEXT(ABS(计算!AF145), "#.00")</f>
        <v>1</v>
      </c>
      <c r="AG147" s="65" t="b">
        <f>TEXT(导出!AG145,"#.00")=TEXT(计算!AG145, "#.00")</f>
        <v>1</v>
      </c>
      <c r="AH147" s="65" t="b">
        <f>TEXT(导出!AH145,"#.00")=TEXT(计算!AH145, "#.00")</f>
        <v>1</v>
      </c>
      <c r="AI147">
        <v>0</v>
      </c>
      <c r="AJ147" s="3">
        <v>41912.6862384259</v>
      </c>
      <c r="AK147" s="2" t="s">
        <v>1894</v>
      </c>
    </row>
    <row r="148" spans="1:37" x14ac:dyDescent="0.15">
      <c r="A148" s="2" t="s">
        <v>1893</v>
      </c>
      <c r="B148">
        <v>192</v>
      </c>
      <c r="C148" s="3">
        <v>41609</v>
      </c>
      <c r="D148" s="2" t="s">
        <v>37</v>
      </c>
      <c r="E148" s="2" t="s">
        <v>1892</v>
      </c>
      <c r="F148" s="2" t="s">
        <v>41</v>
      </c>
      <c r="G148" s="2" t="s">
        <v>310</v>
      </c>
      <c r="H148" s="2" t="s">
        <v>311</v>
      </c>
      <c r="I148" s="65" t="b">
        <f>导出!I146=计算!I146</f>
        <v>1</v>
      </c>
      <c r="J148" s="65" t="b">
        <f>导出!J146=计算!J146</f>
        <v>1</v>
      </c>
      <c r="K148" s="65" t="b">
        <f>导出!K146=计算!K146</f>
        <v>1</v>
      </c>
      <c r="L148" s="65" t="b">
        <f>导出!L146=计算!L146</f>
        <v>1</v>
      </c>
      <c r="M148" s="65" t="b">
        <f>导出!M146=计算!M146</f>
        <v>1</v>
      </c>
      <c r="N148" s="65" t="b">
        <f>TEXT(导出!N146,"#.00")=TEXT(计算!N146, "#.00")</f>
        <v>1</v>
      </c>
      <c r="O148" s="65" t="b">
        <f>TEXT(导出!O146,"#.00")=TEXT(计算!O146, "#.00")</f>
        <v>1</v>
      </c>
      <c r="P148" s="65" t="b">
        <f>TEXT(导出!P146,"#.00")=TEXT(计算!P146, "#.00")</f>
        <v>1</v>
      </c>
      <c r="Q148" s="65" t="b">
        <f>TEXT(导出!Q146,"#.00")=TEXT(计算!Q146, "#.00")</f>
        <v>1</v>
      </c>
      <c r="R148" s="65" t="b">
        <f>TEXT(导出!R146,"#.00")=TEXT(计算!R146, "#.00")</f>
        <v>1</v>
      </c>
      <c r="S148" s="65" t="b">
        <f>TEXT(导出!S146,"#.00")=TEXT(计算!S146, "#.00")</f>
        <v>1</v>
      </c>
      <c r="T148" s="65" t="b">
        <f>TEXT(导出!T146,"#.00")=TEXT(计算!T146, "#.00")</f>
        <v>1</v>
      </c>
      <c r="U148" s="65" t="b">
        <f>TEXT(导出!U146,"#.00")=TEXT(计算!U146, "#.00")</f>
        <v>1</v>
      </c>
      <c r="V148" s="65" t="b">
        <f>TEXT(导出!V146,"#.00")=TEXT(计算!V146*100, "#.00")</f>
        <v>1</v>
      </c>
      <c r="W148" s="65" t="b">
        <f>TEXT(导出!W146,"#.00")=TEXT(计算!W146, "#.00")</f>
        <v>1</v>
      </c>
      <c r="X148" s="65" t="b">
        <f>TEXT(导出!X146,"#.00")=TEXT(计算!X146, "#.00")</f>
        <v>1</v>
      </c>
      <c r="Y148" s="65" t="b">
        <f>TEXT(导出!Y146,"#.00")=TEXT(计算!Y146, "#.00")</f>
        <v>1</v>
      </c>
      <c r="Z148" s="65" t="b">
        <f>TEXT(导出!Z146,"#.00")=TEXT(计算!Z146, "#.00")</f>
        <v>1</v>
      </c>
      <c r="AA148" s="65" t="b">
        <f>TEXT(导出!AA146,"#.00")=TEXT(计算!AA146*100, "#.00")</f>
        <v>1</v>
      </c>
      <c r="AB148" s="65" t="b">
        <f>TEXT(导出!AB146,"#.00")=TEXT(计算!AB146, "#.00")</f>
        <v>1</v>
      </c>
      <c r="AC148" s="65" t="b">
        <f>TEXT(导出!AC146,"#.00")=TEXT(计算!AC146, "#.00")</f>
        <v>1</v>
      </c>
      <c r="AD148" s="65" t="b">
        <f>TEXT(导出!AD146,"#.00")=TEXT(计算!AD146, "#.00")</f>
        <v>1</v>
      </c>
      <c r="AE148" s="65" t="b">
        <f>ABS(导出!AE146-计算!AE146)&lt;10</f>
        <v>1</v>
      </c>
      <c r="AF148" s="65" t="b">
        <f>TEXT(ABS(导出!AF146),"#.00")=TEXT(ABS(计算!AF146), "#.00")</f>
        <v>1</v>
      </c>
      <c r="AG148" s="65" t="b">
        <f>TEXT(导出!AG146,"#.00")=TEXT(计算!AG146, "#.00")</f>
        <v>1</v>
      </c>
      <c r="AH148" s="65" t="b">
        <f>TEXT(导出!AH146,"#.00")=TEXT(计算!AH146, "#.00")</f>
        <v>1</v>
      </c>
      <c r="AI148">
        <v>0</v>
      </c>
      <c r="AJ148" s="3">
        <v>41912.6862384259</v>
      </c>
      <c r="AK148" s="2" t="s">
        <v>1891</v>
      </c>
    </row>
    <row r="149" spans="1:37" x14ac:dyDescent="0.15">
      <c r="A149" s="2" t="s">
        <v>1890</v>
      </c>
      <c r="B149">
        <v>206</v>
      </c>
      <c r="C149" s="3">
        <v>41609</v>
      </c>
      <c r="D149" s="2" t="s">
        <v>37</v>
      </c>
      <c r="E149" s="2" t="s">
        <v>1889</v>
      </c>
      <c r="F149" s="2" t="s">
        <v>41</v>
      </c>
      <c r="G149" s="2" t="s">
        <v>314</v>
      </c>
      <c r="H149" s="2" t="s">
        <v>315</v>
      </c>
      <c r="I149" s="65" t="b">
        <f>导出!I147=计算!I147</f>
        <v>1</v>
      </c>
      <c r="J149" s="65" t="b">
        <f>导出!J147=计算!J147</f>
        <v>1</v>
      </c>
      <c r="K149" s="65" t="b">
        <f>导出!K147=计算!K147</f>
        <v>1</v>
      </c>
      <c r="L149" s="65" t="b">
        <f>导出!L147=计算!L147</f>
        <v>1</v>
      </c>
      <c r="M149" s="65" t="b">
        <f>导出!M147=计算!M147</f>
        <v>1</v>
      </c>
      <c r="N149" s="65" t="b">
        <f>TEXT(导出!N147,"#.00")=TEXT(计算!N147, "#.00")</f>
        <v>1</v>
      </c>
      <c r="O149" s="65" t="b">
        <f>TEXT(导出!O147,"#.00")=TEXT(计算!O147, "#.00")</f>
        <v>1</v>
      </c>
      <c r="P149" s="65" t="b">
        <f>TEXT(导出!P147,"#.00")=TEXT(计算!P147, "#.00")</f>
        <v>1</v>
      </c>
      <c r="Q149" s="65" t="b">
        <f>TEXT(导出!Q147,"#.00")=TEXT(计算!Q147, "#.00")</f>
        <v>1</v>
      </c>
      <c r="R149" s="65" t="b">
        <f>TEXT(导出!R147,"#.00")=TEXT(计算!R147, "#.00")</f>
        <v>1</v>
      </c>
      <c r="S149" s="65" t="b">
        <f>TEXT(导出!S147,"#.00")=TEXT(计算!S147, "#.00")</f>
        <v>1</v>
      </c>
      <c r="T149" s="65" t="b">
        <f>TEXT(导出!T147,"#.00")=TEXT(计算!T147, "#.00")</f>
        <v>1</v>
      </c>
      <c r="U149" s="65" t="b">
        <f>TEXT(导出!U147,"#.00")=TEXT(计算!U147, "#.00")</f>
        <v>1</v>
      </c>
      <c r="V149" s="65" t="b">
        <f>TEXT(导出!V147,"#.00")=TEXT(计算!V147*100, "#.00")</f>
        <v>1</v>
      </c>
      <c r="W149" s="65" t="b">
        <f>TEXT(导出!W147,"#.00")=TEXT(计算!W147, "#.00")</f>
        <v>1</v>
      </c>
      <c r="X149" s="65" t="b">
        <f>TEXT(导出!X147,"#.00")=TEXT(计算!X147, "#.00")</f>
        <v>1</v>
      </c>
      <c r="Y149" s="65" t="b">
        <f>TEXT(导出!Y147,"#.00")=TEXT(计算!Y147, "#.00")</f>
        <v>1</v>
      </c>
      <c r="Z149" s="65" t="b">
        <f>TEXT(导出!Z147,"#.00")=TEXT(计算!Z147, "#.00")</f>
        <v>1</v>
      </c>
      <c r="AA149" s="65" t="b">
        <f>TEXT(导出!AA147,"#.00")=TEXT(计算!AA147*100, "#.00")</f>
        <v>1</v>
      </c>
      <c r="AB149" s="65" t="b">
        <f>TEXT(导出!AB147,"#.00")=TEXT(计算!AB147, "#.00")</f>
        <v>1</v>
      </c>
      <c r="AC149" s="65" t="b">
        <f>TEXT(导出!AC147,"#.00")=TEXT(计算!AC147, "#.00")</f>
        <v>1</v>
      </c>
      <c r="AD149" s="65" t="b">
        <f>TEXT(导出!AD147,"#.00")=TEXT(计算!AD147, "#.00")</f>
        <v>1</v>
      </c>
      <c r="AE149" s="65" t="b">
        <f>ABS(导出!AE147-计算!AE147)&lt;10</f>
        <v>1</v>
      </c>
      <c r="AF149" s="65" t="b">
        <f>TEXT(ABS(导出!AF147),"#.00")=TEXT(ABS(计算!AF147), "#.00")</f>
        <v>1</v>
      </c>
      <c r="AG149" s="65" t="b">
        <f>TEXT(导出!AG147,"#.00")=TEXT(计算!AG147, "#.00")</f>
        <v>1</v>
      </c>
      <c r="AH149" s="65" t="b">
        <f>TEXT(导出!AH147,"#.00")=TEXT(计算!AH147, "#.00")</f>
        <v>1</v>
      </c>
      <c r="AI149">
        <v>0</v>
      </c>
      <c r="AJ149" s="3">
        <v>41912.6862384259</v>
      </c>
      <c r="AK149" s="2" t="s">
        <v>1888</v>
      </c>
    </row>
    <row r="150" spans="1:37" x14ac:dyDescent="0.15">
      <c r="A150" s="2" t="s">
        <v>1887</v>
      </c>
      <c r="B150">
        <v>1058</v>
      </c>
      <c r="C150" s="3">
        <v>41618</v>
      </c>
      <c r="D150" s="2" t="s">
        <v>37</v>
      </c>
      <c r="E150" s="2" t="s">
        <v>1886</v>
      </c>
      <c r="F150" s="2" t="s">
        <v>38</v>
      </c>
      <c r="G150" s="2" t="s">
        <v>336</v>
      </c>
      <c r="H150" s="2" t="s">
        <v>337</v>
      </c>
      <c r="I150" s="65" t="b">
        <f>导出!I148=计算!I148</f>
        <v>1</v>
      </c>
      <c r="J150" s="65" t="b">
        <f>导出!J148=计算!J148</f>
        <v>1</v>
      </c>
      <c r="K150" s="65" t="b">
        <f>导出!K148=计算!K148</f>
        <v>1</v>
      </c>
      <c r="L150" s="65" t="b">
        <f>导出!L148=计算!L148</f>
        <v>1</v>
      </c>
      <c r="M150" s="65" t="b">
        <f>导出!M148=计算!M148</f>
        <v>1</v>
      </c>
      <c r="N150" s="65" t="b">
        <f>TEXT(导出!N148,"#.00")=TEXT(计算!N148, "#.00")</f>
        <v>1</v>
      </c>
      <c r="O150" s="65" t="b">
        <f>TEXT(导出!O148,"#.00")=TEXT(计算!O148, "#.00")</f>
        <v>1</v>
      </c>
      <c r="P150" s="65" t="b">
        <f>TEXT(导出!P148,"#.00")=TEXT(计算!P148, "#.00")</f>
        <v>1</v>
      </c>
      <c r="Q150" s="65" t="b">
        <f>TEXT(导出!Q148,"#.00")=TEXT(计算!Q148, "#.00")</f>
        <v>0</v>
      </c>
      <c r="R150" s="65" t="b">
        <f>TEXT(导出!R148,"#.00")=TEXT(计算!R148, "#.00")</f>
        <v>1</v>
      </c>
      <c r="S150" s="65" t="b">
        <f>TEXT(导出!S148,"#.00")=TEXT(计算!S148, "#.00")</f>
        <v>1</v>
      </c>
      <c r="T150" s="65" t="b">
        <f>TEXT(导出!T148,"#.00")=TEXT(计算!T148, "#.00")</f>
        <v>1</v>
      </c>
      <c r="U150" s="65" t="b">
        <f>TEXT(导出!U148,"#.00")=TEXT(计算!U148, "#.00")</f>
        <v>1</v>
      </c>
      <c r="V150" s="65" t="b">
        <f>TEXT(导出!V148,"#.00")=TEXT(计算!V148*100, "#.00")</f>
        <v>1</v>
      </c>
      <c r="W150" s="65" t="b">
        <f>TEXT(导出!W148,"#.00")=TEXT(计算!W148, "#.00")</f>
        <v>1</v>
      </c>
      <c r="X150" s="65" t="b">
        <f>TEXT(导出!X148,"#.00")=TEXT(计算!X148, "#.00")</f>
        <v>1</v>
      </c>
      <c r="Y150" s="65" t="b">
        <f>TEXT(导出!Y148,"#.00")=TEXT(计算!Y148, "#.00")</f>
        <v>1</v>
      </c>
      <c r="Z150" s="65" t="b">
        <f>TEXT(导出!Z148,"#.00")=TEXT(计算!Z148, "#.00")</f>
        <v>1</v>
      </c>
      <c r="AA150" s="65" t="b">
        <f>TEXT(导出!AA148,"#.00")=TEXT(计算!AA148*100, "#.00")</f>
        <v>1</v>
      </c>
      <c r="AB150" s="65" t="b">
        <f>TEXT(导出!AB148,"#.00")=TEXT(计算!AB148, "#.00")</f>
        <v>1</v>
      </c>
      <c r="AC150" s="65" t="b">
        <f>TEXT(导出!AC148,"#.00")=TEXT(计算!AC148, "#.00")</f>
        <v>1</v>
      </c>
      <c r="AD150" s="65" t="b">
        <f>TEXT(导出!AD148,"#.00")=TEXT(计算!AD148, "#.00")</f>
        <v>1</v>
      </c>
      <c r="AE150" s="65" t="b">
        <f>ABS(导出!AE148-计算!AE148)&lt;10</f>
        <v>1</v>
      </c>
      <c r="AF150" s="65" t="b">
        <f>TEXT(ABS(导出!AF148),"#.00")=TEXT(ABS(计算!AF148), "#.00")</f>
        <v>1</v>
      </c>
      <c r="AG150" s="65" t="b">
        <f>TEXT(导出!AG148,"#.00")=TEXT(计算!AG148, "#.00")</f>
        <v>1</v>
      </c>
      <c r="AH150" s="65" t="b">
        <f>TEXT(导出!AH148,"#.00")=TEXT(计算!AH148, "#.00")</f>
        <v>1</v>
      </c>
      <c r="AI150">
        <v>0</v>
      </c>
      <c r="AJ150" s="3">
        <v>41912.6862847222</v>
      </c>
      <c r="AK150" s="2" t="s">
        <v>1885</v>
      </c>
    </row>
    <row r="151" spans="1:37" x14ac:dyDescent="0.15">
      <c r="A151" s="2" t="s">
        <v>1884</v>
      </c>
      <c r="B151">
        <v>1064</v>
      </c>
      <c r="C151" s="3">
        <v>41626</v>
      </c>
      <c r="D151" s="2" t="s">
        <v>37</v>
      </c>
      <c r="E151" s="2" t="s">
        <v>1883</v>
      </c>
      <c r="F151" s="2" t="s">
        <v>38</v>
      </c>
      <c r="G151" s="2" t="s">
        <v>338</v>
      </c>
      <c r="H151" s="2" t="s">
        <v>339</v>
      </c>
      <c r="I151" s="65" t="b">
        <f>导出!I149=计算!I149</f>
        <v>1</v>
      </c>
      <c r="J151" s="65" t="b">
        <f>导出!J149=计算!J149</f>
        <v>1</v>
      </c>
      <c r="K151" s="65" t="b">
        <f>导出!K149=计算!K149</f>
        <v>1</v>
      </c>
      <c r="L151" s="65" t="b">
        <f>导出!L149=计算!L149</f>
        <v>1</v>
      </c>
      <c r="M151" s="65" t="b">
        <f>导出!M149=计算!M149</f>
        <v>1</v>
      </c>
      <c r="N151" s="65" t="b">
        <f>TEXT(导出!N149,"#.00")=TEXT(计算!N149, "#.00")</f>
        <v>1</v>
      </c>
      <c r="O151" s="65" t="b">
        <f>TEXT(导出!O149,"#.00")=TEXT(计算!O149, "#.00")</f>
        <v>1</v>
      </c>
      <c r="P151" s="65" t="b">
        <f>TEXT(导出!P149,"#.00")=TEXT(计算!P149, "#.00")</f>
        <v>1</v>
      </c>
      <c r="Q151" s="65" t="b">
        <f>TEXT(导出!Q149,"#.00")=TEXT(计算!Q149, "#.00")</f>
        <v>1</v>
      </c>
      <c r="R151" s="65" t="b">
        <f>TEXT(导出!R149,"#.00")=TEXT(计算!R149, "#.00")</f>
        <v>1</v>
      </c>
      <c r="S151" s="65" t="b">
        <f>TEXT(导出!S149,"#.00")=TEXT(计算!S149, "#.00")</f>
        <v>1</v>
      </c>
      <c r="T151" s="65" t="b">
        <f>TEXT(导出!T149,"#.00")=TEXT(计算!T149, "#.00")</f>
        <v>1</v>
      </c>
      <c r="U151" s="65" t="b">
        <f>TEXT(导出!U149,"#.00")=TEXT(计算!U149, "#.00")</f>
        <v>1</v>
      </c>
      <c r="V151" s="65" t="b">
        <f>TEXT(导出!V149,"#.00")=TEXT(计算!V149*100, "#.00")</f>
        <v>1</v>
      </c>
      <c r="W151" s="65" t="b">
        <f>TEXT(导出!W149,"#.00")=TEXT(计算!W149, "#.00")</f>
        <v>1</v>
      </c>
      <c r="X151" s="65" t="b">
        <f>TEXT(导出!X149,"#.00")=TEXT(计算!X149, "#.00")</f>
        <v>1</v>
      </c>
      <c r="Y151" s="65" t="b">
        <f>TEXT(导出!Y149,"#.00")=TEXT(计算!Y149, "#.00")</f>
        <v>1</v>
      </c>
      <c r="Z151" s="65" t="b">
        <f>TEXT(导出!Z149,"#.00")=TEXT(计算!Z149, "#.00")</f>
        <v>1</v>
      </c>
      <c r="AA151" s="65" t="b">
        <f>TEXT(导出!AA149,"#.00")=TEXT(计算!AA149*100, "#.00")</f>
        <v>1</v>
      </c>
      <c r="AB151" s="65" t="b">
        <f>TEXT(导出!AB149,"#.00")=TEXT(计算!AB149, "#.00")</f>
        <v>1</v>
      </c>
      <c r="AC151" s="65" t="b">
        <f>TEXT(导出!AC149,"#.00")=TEXT(计算!AC149, "#.00")</f>
        <v>1</v>
      </c>
      <c r="AD151" s="65" t="b">
        <f>TEXT(导出!AD149,"#.00")=TEXT(计算!AD149, "#.00")</f>
        <v>1</v>
      </c>
      <c r="AE151" s="65" t="b">
        <f>ABS(导出!AE149-计算!AE149)&lt;10</f>
        <v>1</v>
      </c>
      <c r="AF151" s="65" t="b">
        <f>TEXT(ABS(导出!AF149),"#.00")=TEXT(ABS(计算!AF149), "#.00")</f>
        <v>1</v>
      </c>
      <c r="AG151" s="65" t="b">
        <f>TEXT(导出!AG149,"#.00")=TEXT(计算!AG149, "#.00")</f>
        <v>1</v>
      </c>
      <c r="AH151" s="65" t="b">
        <f>TEXT(导出!AH149,"#.00")=TEXT(计算!AH149, "#.00")</f>
        <v>1</v>
      </c>
      <c r="AI151">
        <v>0</v>
      </c>
      <c r="AJ151" s="3">
        <v>41912.6862847222</v>
      </c>
      <c r="AK151" s="2" t="s">
        <v>1882</v>
      </c>
    </row>
    <row r="152" spans="1:37" x14ac:dyDescent="0.15">
      <c r="A152" s="2" t="s">
        <v>1881</v>
      </c>
      <c r="B152">
        <v>1071</v>
      </c>
      <c r="C152" s="3">
        <v>41626</v>
      </c>
      <c r="D152" s="2" t="s">
        <v>37</v>
      </c>
      <c r="E152" s="2" t="s">
        <v>1880</v>
      </c>
      <c r="F152" s="2" t="s">
        <v>38</v>
      </c>
      <c r="G152" s="2" t="s">
        <v>340</v>
      </c>
      <c r="H152" s="2" t="s">
        <v>341</v>
      </c>
      <c r="I152" s="65" t="b">
        <f>导出!I150=计算!I150</f>
        <v>1</v>
      </c>
      <c r="J152" s="65" t="b">
        <f>导出!J150=计算!J150</f>
        <v>1</v>
      </c>
      <c r="K152" s="65" t="b">
        <f>导出!K150=计算!K150</f>
        <v>1</v>
      </c>
      <c r="L152" s="65" t="b">
        <f>导出!L150=计算!L150</f>
        <v>1</v>
      </c>
      <c r="M152" s="65" t="b">
        <f>导出!M150=计算!M150</f>
        <v>1</v>
      </c>
      <c r="N152" s="65" t="b">
        <f>TEXT(导出!N150,"#.00")=TEXT(计算!N150, "#.00")</f>
        <v>1</v>
      </c>
      <c r="O152" s="65" t="b">
        <f>TEXT(导出!O150,"#.00")=TEXT(计算!O150, "#.00")</f>
        <v>1</v>
      </c>
      <c r="P152" s="65" t="b">
        <f>TEXT(导出!P150,"#.00")=TEXT(计算!P150, "#.00")</f>
        <v>1</v>
      </c>
      <c r="Q152" s="65" t="b">
        <f>TEXT(导出!Q150,"#.00")=TEXT(计算!Q150, "#.00")</f>
        <v>1</v>
      </c>
      <c r="R152" s="65" t="b">
        <f>TEXT(导出!R150,"#.00")=TEXT(计算!R150, "#.00")</f>
        <v>1</v>
      </c>
      <c r="S152" s="65" t="b">
        <f>TEXT(导出!S150,"#.00")=TEXT(计算!S150, "#.00")</f>
        <v>1</v>
      </c>
      <c r="T152" s="65" t="b">
        <f>TEXT(导出!T150,"#.00")=TEXT(计算!T150, "#.00")</f>
        <v>1</v>
      </c>
      <c r="U152" s="65" t="b">
        <f>TEXT(导出!U150,"#.00")=TEXT(计算!U150, "#.00")</f>
        <v>1</v>
      </c>
      <c r="V152" s="65" t="b">
        <f>TEXT(导出!V150,"#.00")=TEXT(计算!V150*100, "#.00")</f>
        <v>1</v>
      </c>
      <c r="W152" s="65" t="b">
        <f>TEXT(导出!W150,"#.00")=TEXT(计算!W150, "#.00")</f>
        <v>1</v>
      </c>
      <c r="X152" s="65" t="b">
        <f>TEXT(导出!X150,"#.00")=TEXT(计算!X150, "#.00")</f>
        <v>1</v>
      </c>
      <c r="Y152" s="65" t="b">
        <f>TEXT(导出!Y150,"#.00")=TEXT(计算!Y150, "#.00")</f>
        <v>1</v>
      </c>
      <c r="Z152" s="65" t="b">
        <f>TEXT(导出!Z150,"#.00")=TEXT(计算!Z150, "#.00")</f>
        <v>1</v>
      </c>
      <c r="AA152" s="65" t="b">
        <f>TEXT(导出!AA150,"#.00")=TEXT(计算!AA150*100, "#.00")</f>
        <v>1</v>
      </c>
      <c r="AB152" s="65" t="b">
        <f>TEXT(导出!AB150,"#.00")=TEXT(计算!AB150, "#.00")</f>
        <v>1</v>
      </c>
      <c r="AC152" s="65" t="b">
        <f>TEXT(导出!AC150,"#.00")=TEXT(计算!AC150, "#.00")</f>
        <v>1</v>
      </c>
      <c r="AD152" s="65" t="b">
        <f>TEXT(导出!AD150,"#.00")=TEXT(计算!AD150, "#.00")</f>
        <v>1</v>
      </c>
      <c r="AE152" s="65" t="b">
        <f>ABS(导出!AE150-计算!AE150)&lt;10</f>
        <v>1</v>
      </c>
      <c r="AF152" s="65" t="b">
        <f>TEXT(ABS(导出!AF150),"#.00")=TEXT(ABS(计算!AF150), "#.00")</f>
        <v>1</v>
      </c>
      <c r="AG152" s="65" t="b">
        <f>TEXT(导出!AG150,"#.00")=TEXT(计算!AG150, "#.00")</f>
        <v>1</v>
      </c>
      <c r="AH152" s="65" t="b">
        <f>TEXT(导出!AH150,"#.00")=TEXT(计算!AH150, "#.00")</f>
        <v>1</v>
      </c>
      <c r="AI152">
        <v>0</v>
      </c>
      <c r="AJ152" s="3">
        <v>41912.6862847222</v>
      </c>
      <c r="AK152" s="2" t="s">
        <v>1879</v>
      </c>
    </row>
    <row r="153" spans="1:37" x14ac:dyDescent="0.15">
      <c r="A153" s="2" t="s">
        <v>1878</v>
      </c>
      <c r="B153">
        <v>1080</v>
      </c>
      <c r="C153" s="3">
        <v>41628</v>
      </c>
      <c r="D153" s="2" t="s">
        <v>37</v>
      </c>
      <c r="E153" s="2" t="s">
        <v>1877</v>
      </c>
      <c r="F153" s="2" t="s">
        <v>38</v>
      </c>
      <c r="G153" s="2" t="s">
        <v>342</v>
      </c>
      <c r="H153" s="2" t="s">
        <v>343</v>
      </c>
      <c r="I153" s="65" t="b">
        <f>导出!I151=计算!I151</f>
        <v>1</v>
      </c>
      <c r="J153" s="65" t="b">
        <f>导出!J151=计算!J151</f>
        <v>1</v>
      </c>
      <c r="K153" s="65" t="b">
        <f>导出!K151=计算!K151</f>
        <v>1</v>
      </c>
      <c r="L153" s="65" t="b">
        <f>导出!L151=计算!L151</f>
        <v>1</v>
      </c>
      <c r="M153" s="65" t="b">
        <f>导出!M151=计算!M151</f>
        <v>1</v>
      </c>
      <c r="N153" s="65" t="b">
        <f>TEXT(导出!N151,"#.00")=TEXT(计算!N151, "#.00")</f>
        <v>1</v>
      </c>
      <c r="O153" s="65" t="b">
        <f>TEXT(导出!O151,"#.00")=TEXT(计算!O151, "#.00")</f>
        <v>1</v>
      </c>
      <c r="P153" s="65" t="b">
        <f>TEXT(导出!P151,"#.00")=TEXT(计算!P151, "#.00")</f>
        <v>1</v>
      </c>
      <c r="Q153" s="65" t="b">
        <f>TEXT(导出!Q151,"#.00")=TEXT(计算!Q151, "#.00")</f>
        <v>1</v>
      </c>
      <c r="R153" s="65" t="b">
        <f>TEXT(导出!R151,"#.00")=TEXT(计算!R151, "#.00")</f>
        <v>1</v>
      </c>
      <c r="S153" s="65" t="b">
        <f>TEXT(导出!S151,"#.00")=TEXT(计算!S151, "#.00")</f>
        <v>1</v>
      </c>
      <c r="T153" s="65" t="b">
        <f>TEXT(导出!T151,"#.00")=TEXT(计算!T151, "#.00")</f>
        <v>1</v>
      </c>
      <c r="U153" s="65" t="b">
        <f>TEXT(导出!U151,"#.00")=TEXT(计算!U151, "#.00")</f>
        <v>1</v>
      </c>
      <c r="V153" s="65" t="b">
        <f>TEXT(导出!V151,"#.00")=TEXT(计算!V151*100, "#.00")</f>
        <v>1</v>
      </c>
      <c r="W153" s="65" t="b">
        <f>TEXT(导出!W151,"#.00")=TEXT(计算!W151, "#.00")</f>
        <v>1</v>
      </c>
      <c r="X153" s="65" t="b">
        <f>TEXT(导出!X151,"#.00")=TEXT(计算!X151, "#.00")</f>
        <v>1</v>
      </c>
      <c r="Y153" s="65" t="b">
        <f>TEXT(导出!Y151,"#.00")=TEXT(计算!Y151, "#.00")</f>
        <v>0</v>
      </c>
      <c r="Z153" s="65" t="b">
        <f>TEXT(导出!Z151,"#.00")=TEXT(计算!Z151, "#.00")</f>
        <v>1</v>
      </c>
      <c r="AA153" s="65" t="b">
        <f>TEXT(导出!AA151,"#.00")=TEXT(计算!AA151*100, "#.00")</f>
        <v>1</v>
      </c>
      <c r="AB153" s="65" t="b">
        <f>TEXT(导出!AB151,"#.00")=TEXT(计算!AB151, "#.00")</f>
        <v>1</v>
      </c>
      <c r="AC153" s="65" t="b">
        <f>TEXT(导出!AC151,"#.00")=TEXT(计算!AC151, "#.00")</f>
        <v>1</v>
      </c>
      <c r="AD153" s="65" t="b">
        <f>TEXT(导出!AD151,"#.00")=TEXT(计算!AD151, "#.00")</f>
        <v>1</v>
      </c>
      <c r="AE153" s="65" t="b">
        <f>ABS(导出!AE151-计算!AE151)&lt;10</f>
        <v>1</v>
      </c>
      <c r="AF153" s="65" t="b">
        <f>TEXT(ABS(导出!AF151),"#.00")=TEXT(ABS(计算!AF151), "#.00")</f>
        <v>1</v>
      </c>
      <c r="AG153" s="65" t="b">
        <f>TEXT(导出!AG151,"#.00")=TEXT(计算!AG151, "#.00")</f>
        <v>1</v>
      </c>
      <c r="AH153" s="65" t="b">
        <f>TEXT(导出!AH151,"#.00")=TEXT(计算!AH151, "#.00")</f>
        <v>1</v>
      </c>
      <c r="AI153">
        <v>0</v>
      </c>
      <c r="AJ153" s="3">
        <v>41912.6862847222</v>
      </c>
      <c r="AK153" s="2" t="s">
        <v>1876</v>
      </c>
    </row>
    <row r="154" spans="1:37" x14ac:dyDescent="0.15">
      <c r="A154" s="2" t="s">
        <v>1875</v>
      </c>
      <c r="B154">
        <v>1086</v>
      </c>
      <c r="C154" s="3">
        <v>41640</v>
      </c>
      <c r="D154" s="2" t="s">
        <v>37</v>
      </c>
      <c r="E154" s="2" t="s">
        <v>1874</v>
      </c>
      <c r="F154" s="2" t="s">
        <v>38</v>
      </c>
      <c r="G154" s="2" t="s">
        <v>1534</v>
      </c>
      <c r="H154" s="2" t="s">
        <v>345</v>
      </c>
      <c r="I154" s="65" t="b">
        <f>导出!I152=计算!I152</f>
        <v>1</v>
      </c>
      <c r="J154" s="65" t="b">
        <f>导出!J152=计算!J152</f>
        <v>1</v>
      </c>
      <c r="K154" s="65" t="b">
        <f>导出!K152=计算!K152</f>
        <v>1</v>
      </c>
      <c r="L154" s="65" t="b">
        <f>导出!L152=计算!L152</f>
        <v>1</v>
      </c>
      <c r="M154" s="65" t="b">
        <f>导出!M152=计算!M152</f>
        <v>1</v>
      </c>
      <c r="N154" s="65" t="b">
        <f>TEXT(导出!N152,"#.00")=TEXT(计算!N152, "#.00")</f>
        <v>1</v>
      </c>
      <c r="O154" s="65" t="b">
        <f>TEXT(导出!O152,"#.00")=TEXT(计算!O152, "#.00")</f>
        <v>1</v>
      </c>
      <c r="P154" s="65" t="b">
        <f>TEXT(导出!P152,"#.00")=TEXT(计算!P152, "#.00")</f>
        <v>1</v>
      </c>
      <c r="Q154" s="65" t="b">
        <f>TEXT(导出!Q152,"#.00")=TEXT(计算!Q152, "#.00")</f>
        <v>1</v>
      </c>
      <c r="R154" s="65" t="b">
        <f>TEXT(导出!R152,"#.00")=TEXT(计算!R152, "#.00")</f>
        <v>1</v>
      </c>
      <c r="S154" s="65" t="b">
        <f>TEXT(导出!S152,"#.00")=TEXT(计算!S152, "#.00")</f>
        <v>1</v>
      </c>
      <c r="T154" s="65" t="b">
        <f>TEXT(导出!T152,"#.00")=TEXT(计算!T152, "#.00")</f>
        <v>1</v>
      </c>
      <c r="U154" s="65" t="b">
        <f>TEXT(导出!U152,"#.00")=TEXT(计算!U152, "#.00")</f>
        <v>1</v>
      </c>
      <c r="V154" s="65" t="b">
        <f>TEXT(导出!V152,"#.00")=TEXT(计算!V152*100, "#.00")</f>
        <v>1</v>
      </c>
      <c r="W154" s="65" t="b">
        <f>TEXT(导出!W152,"#.00")=TEXT(计算!W152, "#.00")</f>
        <v>1</v>
      </c>
      <c r="X154" s="65" t="b">
        <f>TEXT(导出!X152,"#.00")=TEXT(计算!X152, "#.00")</f>
        <v>1</v>
      </c>
      <c r="Y154" s="65" t="b">
        <f>TEXT(导出!Y152,"#.00")=TEXT(计算!Y152, "#.00")</f>
        <v>1</v>
      </c>
      <c r="Z154" s="65" t="b">
        <f>TEXT(导出!Z152,"#.00")=TEXT(计算!Z152, "#.00")</f>
        <v>1</v>
      </c>
      <c r="AA154" s="65" t="b">
        <f>TEXT(导出!AA152,"#.00")=TEXT(计算!AA152*100, "#.00")</f>
        <v>1</v>
      </c>
      <c r="AB154" s="65" t="b">
        <f>TEXT(导出!AB152,"#.00")=TEXT(计算!AB152, "#.00")</f>
        <v>1</v>
      </c>
      <c r="AC154" s="65" t="b">
        <f>TEXT(导出!AC152,"#.00")=TEXT(计算!AC152, "#.00")</f>
        <v>1</v>
      </c>
      <c r="AD154" s="65" t="b">
        <f>TEXT(导出!AD152,"#.00")=TEXT(计算!AD152, "#.00")</f>
        <v>1</v>
      </c>
      <c r="AE154" s="65" t="b">
        <f>ABS(导出!AE152-计算!AE152)&lt;10</f>
        <v>0</v>
      </c>
      <c r="AF154" s="65" t="b">
        <f>TEXT(ABS(导出!AF152),"#.00")=TEXT(ABS(计算!AF152), "#.00")</f>
        <v>1</v>
      </c>
      <c r="AG154" s="65" t="b">
        <f>TEXT(导出!AG152,"#.00")=TEXT(计算!AG152, "#.00")</f>
        <v>1</v>
      </c>
      <c r="AH154" s="65" t="b">
        <f>TEXT(导出!AH152,"#.00")=TEXT(计算!AH152, "#.00")</f>
        <v>0</v>
      </c>
      <c r="AI154">
        <v>0</v>
      </c>
      <c r="AJ154" s="3">
        <v>41912.6862847222</v>
      </c>
      <c r="AK154" s="2" t="s">
        <v>1873</v>
      </c>
    </row>
    <row r="155" spans="1:37" x14ac:dyDescent="0.15">
      <c r="A155" s="2" t="s">
        <v>1872</v>
      </c>
      <c r="B155">
        <v>1102</v>
      </c>
      <c r="C155" s="3">
        <v>41640</v>
      </c>
      <c r="D155" s="2" t="s">
        <v>37</v>
      </c>
      <c r="E155" s="2" t="s">
        <v>1871</v>
      </c>
      <c r="F155" s="2" t="s">
        <v>38</v>
      </c>
      <c r="G155" s="2" t="s">
        <v>350</v>
      </c>
      <c r="H155" s="2" t="s">
        <v>351</v>
      </c>
      <c r="I155" s="65" t="b">
        <f>导出!I153=计算!I153</f>
        <v>1</v>
      </c>
      <c r="J155" s="65" t="b">
        <f>导出!J153=计算!J153</f>
        <v>1</v>
      </c>
      <c r="K155" s="65" t="b">
        <f>导出!K153=计算!K153</f>
        <v>1</v>
      </c>
      <c r="L155" s="65" t="b">
        <f>导出!L153=计算!L153</f>
        <v>1</v>
      </c>
      <c r="M155" s="65" t="b">
        <f>导出!M153=计算!M153</f>
        <v>1</v>
      </c>
      <c r="N155" s="65" t="b">
        <f>TEXT(导出!N153,"#.00")=TEXT(计算!N153, "#.00")</f>
        <v>1</v>
      </c>
      <c r="O155" s="65" t="b">
        <f>TEXT(导出!O153,"#.00")=TEXT(计算!O153, "#.00")</f>
        <v>1</v>
      </c>
      <c r="P155" s="65" t="b">
        <f>TEXT(导出!P153,"#.00")=TEXT(计算!P153, "#.00")</f>
        <v>1</v>
      </c>
      <c r="Q155" s="65" t="b">
        <f>TEXT(导出!Q153,"#.00")=TEXT(计算!Q153, "#.00")</f>
        <v>1</v>
      </c>
      <c r="R155" s="65" t="b">
        <f>TEXT(导出!R153,"#.00")=TEXT(计算!R153, "#.00")</f>
        <v>1</v>
      </c>
      <c r="S155" s="65" t="b">
        <f>TEXT(导出!S153,"#.00")=TEXT(计算!S153, "#.00")</f>
        <v>1</v>
      </c>
      <c r="T155" s="65" t="b">
        <f>TEXT(导出!T153,"#.00")=TEXT(计算!T153, "#.00")</f>
        <v>1</v>
      </c>
      <c r="U155" s="65" t="b">
        <f>TEXT(导出!U153,"#.00")=TEXT(计算!U153, "#.00")</f>
        <v>1</v>
      </c>
      <c r="V155" s="65" t="b">
        <f>TEXT(导出!V153,"#.00")=TEXT(计算!V153*100, "#.00")</f>
        <v>1</v>
      </c>
      <c r="W155" s="65" t="b">
        <f>TEXT(导出!W153,"#.00")=TEXT(计算!W153, "#.00")</f>
        <v>1</v>
      </c>
      <c r="X155" s="65" t="b">
        <f>TEXT(导出!X153,"#.00")=TEXT(计算!X153, "#.00")</f>
        <v>1</v>
      </c>
      <c r="Y155" s="65" t="b">
        <f>TEXT(导出!Y153,"#.00")=TEXT(计算!Y153, "#.00")</f>
        <v>1</v>
      </c>
      <c r="Z155" s="65" t="b">
        <f>TEXT(导出!Z153,"#.00")=TEXT(计算!Z153, "#.00")</f>
        <v>1</v>
      </c>
      <c r="AA155" s="65" t="b">
        <f>TEXT(导出!AA153,"#.00")=TEXT(计算!AA153*100, "#.00")</f>
        <v>1</v>
      </c>
      <c r="AB155" s="65" t="b">
        <f>TEXT(导出!AB153,"#.00")=TEXT(计算!AB153, "#.00")</f>
        <v>1</v>
      </c>
      <c r="AC155" s="65" t="b">
        <f>TEXT(导出!AC153,"#.00")=TEXT(计算!AC153, "#.00")</f>
        <v>1</v>
      </c>
      <c r="AD155" s="65" t="b">
        <f>TEXT(导出!AD153,"#.00")=TEXT(计算!AD153, "#.00")</f>
        <v>1</v>
      </c>
      <c r="AE155" s="65" t="b">
        <f>ABS(导出!AE153-计算!AE153)&lt;10</f>
        <v>1</v>
      </c>
      <c r="AF155" s="65" t="b">
        <f>TEXT(ABS(导出!AF153),"#.00")=TEXT(ABS(计算!AF153), "#.00")</f>
        <v>1</v>
      </c>
      <c r="AG155" s="65" t="b">
        <f>TEXT(导出!AG153,"#.00")=TEXT(计算!AG153, "#.00")</f>
        <v>1</v>
      </c>
      <c r="AH155" s="65" t="b">
        <f>TEXT(导出!AH153,"#.00")=TEXT(计算!AH153, "#.00")</f>
        <v>1</v>
      </c>
      <c r="AI155">
        <v>0</v>
      </c>
      <c r="AJ155" s="3">
        <v>41912.6862847222</v>
      </c>
      <c r="AK155" s="2" t="s">
        <v>1870</v>
      </c>
    </row>
    <row r="156" spans="1:37" x14ac:dyDescent="0.15">
      <c r="A156" s="2" t="s">
        <v>1869</v>
      </c>
      <c r="B156">
        <v>216</v>
      </c>
      <c r="C156" s="3">
        <v>41640</v>
      </c>
      <c r="D156" s="2" t="s">
        <v>37</v>
      </c>
      <c r="E156" s="2" t="s">
        <v>1868</v>
      </c>
      <c r="F156" s="2" t="s">
        <v>41</v>
      </c>
      <c r="G156" s="2" t="s">
        <v>348</v>
      </c>
      <c r="H156" s="2" t="s">
        <v>349</v>
      </c>
      <c r="I156" s="65" t="b">
        <f>导出!I154=计算!I154</f>
        <v>1</v>
      </c>
      <c r="J156" s="65" t="b">
        <f>导出!J154=计算!J154</f>
        <v>1</v>
      </c>
      <c r="K156" s="65" t="b">
        <f>导出!K154=计算!K154</f>
        <v>1</v>
      </c>
      <c r="L156" s="65" t="b">
        <f>导出!L154=计算!L154</f>
        <v>1</v>
      </c>
      <c r="M156" s="65" t="b">
        <f>导出!M154=计算!M154</f>
        <v>1</v>
      </c>
      <c r="N156" s="65" t="b">
        <f>TEXT(导出!N154,"#.00")=TEXT(计算!N154, "#.00")</f>
        <v>1</v>
      </c>
      <c r="O156" s="65" t="b">
        <f>TEXT(导出!O154,"#.00")=TEXT(计算!O154, "#.00")</f>
        <v>1</v>
      </c>
      <c r="P156" s="65" t="b">
        <f>TEXT(导出!P154,"#.00")=TEXT(计算!P154, "#.00")</f>
        <v>1</v>
      </c>
      <c r="Q156" s="65" t="b">
        <f>TEXT(导出!Q154,"#.00")=TEXT(计算!Q154, "#.00")</f>
        <v>1</v>
      </c>
      <c r="R156" s="65" t="b">
        <f>TEXT(导出!R154,"#.00")=TEXT(计算!R154, "#.00")</f>
        <v>1</v>
      </c>
      <c r="S156" s="65" t="b">
        <f>TEXT(导出!S154,"#.00")=TEXT(计算!S154, "#.00")</f>
        <v>1</v>
      </c>
      <c r="T156" s="65" t="b">
        <f>TEXT(导出!T154,"#.00")=TEXT(计算!T154, "#.00")</f>
        <v>1</v>
      </c>
      <c r="U156" s="65" t="b">
        <f>TEXT(导出!U154,"#.00")=TEXT(计算!U154, "#.00")</f>
        <v>1</v>
      </c>
      <c r="V156" s="65" t="b">
        <f>TEXT(导出!V154,"#.00")=TEXT(计算!V154*100, "#.00")</f>
        <v>0</v>
      </c>
      <c r="W156" s="65" t="b">
        <f>TEXT(导出!W154,"#.00")=TEXT(计算!W154, "#.00")</f>
        <v>1</v>
      </c>
      <c r="X156" s="65" t="b">
        <f>TEXT(导出!X154,"#.00")=TEXT(计算!X154, "#.00")</f>
        <v>1</v>
      </c>
      <c r="Y156" s="65" t="b">
        <f>TEXT(导出!Y154,"#.00")=TEXT(计算!Y154, "#.00")</f>
        <v>1</v>
      </c>
      <c r="Z156" s="65" t="b">
        <f>TEXT(导出!Z154,"#.00")=TEXT(计算!Z154, "#.00")</f>
        <v>1</v>
      </c>
      <c r="AA156" s="65" t="b">
        <f>TEXT(导出!AA154,"#.00")=TEXT(计算!AA154*100, "#.00")</f>
        <v>1</v>
      </c>
      <c r="AB156" s="65" t="b">
        <f>TEXT(导出!AB154,"#.00")=TEXT(计算!AB154, "#.00")</f>
        <v>1</v>
      </c>
      <c r="AC156" s="65" t="b">
        <f>TEXT(导出!AC154,"#.00")=TEXT(计算!AC154, "#.00")</f>
        <v>1</v>
      </c>
      <c r="AD156" s="65" t="b">
        <f>TEXT(导出!AD154,"#.00")=TEXT(计算!AD154, "#.00")</f>
        <v>1</v>
      </c>
      <c r="AE156" s="65" t="b">
        <f>ABS(导出!AE154-计算!AE154)&lt;10</f>
        <v>1</v>
      </c>
      <c r="AF156" s="65" t="b">
        <f>TEXT(ABS(导出!AF154),"#.00")=TEXT(ABS(计算!AF154), "#.00")</f>
        <v>1</v>
      </c>
      <c r="AG156" s="65" t="b">
        <f>TEXT(导出!AG154,"#.00")=TEXT(计算!AG154, "#.00")</f>
        <v>1</v>
      </c>
      <c r="AH156" s="65" t="b">
        <f>TEXT(导出!AH154,"#.00")=TEXT(计算!AH154, "#.00")</f>
        <v>1</v>
      </c>
      <c r="AI156">
        <v>0</v>
      </c>
      <c r="AJ156" s="3">
        <v>41912.6862384259</v>
      </c>
      <c r="AK156" s="2" t="s">
        <v>1867</v>
      </c>
    </row>
    <row r="157" spans="1:37" x14ac:dyDescent="0.15">
      <c r="A157" s="2" t="s">
        <v>1866</v>
      </c>
      <c r="B157">
        <v>1093</v>
      </c>
      <c r="C157" s="3">
        <v>41640</v>
      </c>
      <c r="D157" s="2" t="s">
        <v>37</v>
      </c>
      <c r="E157" s="2" t="s">
        <v>1865</v>
      </c>
      <c r="F157" s="2" t="s">
        <v>38</v>
      </c>
      <c r="G157" s="2" t="s">
        <v>346</v>
      </c>
      <c r="H157" s="2" t="s">
        <v>347</v>
      </c>
      <c r="I157" s="65" t="b">
        <f>导出!I155=计算!I155</f>
        <v>1</v>
      </c>
      <c r="J157" s="65" t="b">
        <f>导出!J155=计算!J155</f>
        <v>1</v>
      </c>
      <c r="K157" s="65" t="b">
        <f>导出!K155=计算!K155</f>
        <v>1</v>
      </c>
      <c r="L157" s="65" t="b">
        <f>导出!L155=计算!L155</f>
        <v>1</v>
      </c>
      <c r="M157" s="65" t="b">
        <f>导出!M155=计算!M155</f>
        <v>1</v>
      </c>
      <c r="N157" s="65" t="b">
        <f>TEXT(导出!N155,"#.00")=TEXT(计算!N155, "#.00")</f>
        <v>1</v>
      </c>
      <c r="O157" s="65" t="b">
        <f>TEXT(导出!O155,"#.00")=TEXT(计算!O155, "#.00")</f>
        <v>1</v>
      </c>
      <c r="P157" s="65" t="b">
        <f>TEXT(导出!P155,"#.00")=TEXT(计算!P155, "#.00")</f>
        <v>1</v>
      </c>
      <c r="Q157" s="65" t="b">
        <f>TEXT(导出!Q155,"#.00")=TEXT(计算!Q155, "#.00")</f>
        <v>0</v>
      </c>
      <c r="R157" s="65" t="b">
        <f>TEXT(导出!R155,"#.00")=TEXT(计算!R155, "#.00")</f>
        <v>1</v>
      </c>
      <c r="S157" s="65" t="b">
        <f>TEXT(导出!S155,"#.00")=TEXT(计算!S155, "#.00")</f>
        <v>1</v>
      </c>
      <c r="T157" s="65" t="b">
        <f>TEXT(导出!T155,"#.00")=TEXT(计算!T155, "#.00")</f>
        <v>1</v>
      </c>
      <c r="U157" s="65" t="b">
        <f>TEXT(导出!U155,"#.00")=TEXT(计算!U155, "#.00")</f>
        <v>1</v>
      </c>
      <c r="V157" s="65" t="b">
        <f>TEXT(导出!V155,"#.00")=TEXT(计算!V155*100, "#.00")</f>
        <v>1</v>
      </c>
      <c r="W157" s="65" t="b">
        <f>TEXT(导出!W155,"#.00")=TEXT(计算!W155, "#.00")</f>
        <v>1</v>
      </c>
      <c r="X157" s="65" t="b">
        <f>TEXT(导出!X155,"#.00")=TEXT(计算!X155, "#.00")</f>
        <v>1</v>
      </c>
      <c r="Y157" s="65" t="b">
        <f>TEXT(导出!Y155,"#.00")=TEXT(计算!Y155, "#.00")</f>
        <v>1</v>
      </c>
      <c r="Z157" s="65" t="b">
        <f>TEXT(导出!Z155,"#.00")=TEXT(计算!Z155, "#.00")</f>
        <v>1</v>
      </c>
      <c r="AA157" s="65" t="b">
        <f>TEXT(导出!AA155,"#.00")=TEXT(计算!AA155*100, "#.00")</f>
        <v>1</v>
      </c>
      <c r="AB157" s="65" t="b">
        <f>TEXT(导出!AB155,"#.00")=TEXT(计算!AB155, "#.00")</f>
        <v>1</v>
      </c>
      <c r="AC157" s="65" t="b">
        <f>TEXT(导出!AC155,"#.00")=TEXT(计算!AC155, "#.00")</f>
        <v>1</v>
      </c>
      <c r="AD157" s="65" t="b">
        <f>TEXT(导出!AD155,"#.00")=TEXT(计算!AD155, "#.00")</f>
        <v>1</v>
      </c>
      <c r="AE157" s="65" t="b">
        <f>ABS(导出!AE155-计算!AE155)&lt;10</f>
        <v>1</v>
      </c>
      <c r="AF157" s="65" t="b">
        <f>TEXT(ABS(导出!AF155),"#.00")=TEXT(ABS(计算!AF155), "#.00")</f>
        <v>1</v>
      </c>
      <c r="AG157" s="65" t="b">
        <f>TEXT(导出!AG155,"#.00")=TEXT(计算!AG155, "#.00")</f>
        <v>1</v>
      </c>
      <c r="AH157" s="65" t="b">
        <f>TEXT(导出!AH155,"#.00")=TEXT(计算!AH155, "#.00")</f>
        <v>1</v>
      </c>
      <c r="AI157">
        <v>0</v>
      </c>
      <c r="AJ157" s="3">
        <v>41912.6862847222</v>
      </c>
      <c r="AK157" s="2" t="s">
        <v>1864</v>
      </c>
    </row>
    <row r="158" spans="1:37" x14ac:dyDescent="0.15">
      <c r="A158" s="2" t="s">
        <v>1863</v>
      </c>
      <c r="B158">
        <v>1094</v>
      </c>
      <c r="C158" s="3">
        <v>41640</v>
      </c>
      <c r="D158" s="2" t="s">
        <v>37</v>
      </c>
      <c r="E158" s="2" t="s">
        <v>1862</v>
      </c>
      <c r="F158" s="2" t="s">
        <v>38</v>
      </c>
      <c r="G158" s="2" t="s">
        <v>1547</v>
      </c>
      <c r="H158" s="2" t="s">
        <v>1681</v>
      </c>
      <c r="I158" s="65" t="b">
        <f>导出!I156=计算!I156</f>
        <v>1</v>
      </c>
      <c r="J158" s="65" t="b">
        <f>导出!J156=计算!J156</f>
        <v>1</v>
      </c>
      <c r="K158" s="65" t="b">
        <f>导出!K156=计算!K156</f>
        <v>1</v>
      </c>
      <c r="L158" s="65" t="b">
        <f>导出!L156=计算!L156</f>
        <v>1</v>
      </c>
      <c r="M158" s="65" t="b">
        <f>导出!M156=计算!M156</f>
        <v>1</v>
      </c>
      <c r="N158" s="65" t="b">
        <f>TEXT(导出!N156,"#.00")=TEXT(计算!N156, "#.00")</f>
        <v>1</v>
      </c>
      <c r="O158" s="65" t="b">
        <f>TEXT(导出!O156,"#.00")=TEXT(计算!O156, "#.00")</f>
        <v>1</v>
      </c>
      <c r="P158" s="65" t="b">
        <f>TEXT(导出!P156,"#.00")=TEXT(计算!P156, "#.00")</f>
        <v>1</v>
      </c>
      <c r="Q158" s="65" t="b">
        <f>TEXT(导出!Q156,"#.00")=TEXT(计算!Q156, "#.00")</f>
        <v>1</v>
      </c>
      <c r="R158" s="65" t="b">
        <f>TEXT(导出!R156,"#.00")=TEXT(计算!R156, "#.00")</f>
        <v>1</v>
      </c>
      <c r="S158" s="65" t="b">
        <f>TEXT(导出!S156,"#.00")=TEXT(计算!S156, "#.00")</f>
        <v>1</v>
      </c>
      <c r="T158" s="65" t="b">
        <f>TEXT(导出!T156,"#.00")=TEXT(计算!T156, "#.00")</f>
        <v>1</v>
      </c>
      <c r="U158" s="65" t="b">
        <f>TEXT(导出!U156,"#.00")=TEXT(计算!U156, "#.00")</f>
        <v>1</v>
      </c>
      <c r="V158" s="65" t="b">
        <f>TEXT(导出!V156,"#.00")=TEXT(计算!V156*100, "#.00")</f>
        <v>1</v>
      </c>
      <c r="W158" s="65" t="b">
        <f>TEXT(导出!W156,"#.00")=TEXT(计算!W156, "#.00")</f>
        <v>1</v>
      </c>
      <c r="X158" s="65" t="b">
        <f>TEXT(导出!X156,"#.00")=TEXT(计算!X156, "#.00")</f>
        <v>1</v>
      </c>
      <c r="Y158" s="65" t="b">
        <f>TEXT(导出!Y156,"#.00")=TEXT(计算!Y156, "#.00")</f>
        <v>1</v>
      </c>
      <c r="Z158" s="65" t="b">
        <f>TEXT(导出!Z156,"#.00")=TEXT(计算!Z156, "#.00")</f>
        <v>1</v>
      </c>
      <c r="AA158" s="65" t="b">
        <f>TEXT(导出!AA156,"#.00")=TEXT(计算!AA156*100, "#.00")</f>
        <v>1</v>
      </c>
      <c r="AB158" s="65" t="b">
        <f>TEXT(导出!AB156,"#.00")=TEXT(计算!AB156, "#.00")</f>
        <v>1</v>
      </c>
      <c r="AC158" s="65" t="b">
        <f>TEXT(导出!AC156,"#.00")=TEXT(计算!AC156, "#.00")</f>
        <v>1</v>
      </c>
      <c r="AD158" s="65" t="b">
        <f>TEXT(导出!AD156,"#.00")=TEXT(计算!AD156, "#.00")</f>
        <v>1</v>
      </c>
      <c r="AE158" s="65" t="b">
        <f>ABS(导出!AE156-计算!AE156)&lt;10</f>
        <v>1</v>
      </c>
      <c r="AF158" s="65" t="b">
        <f>TEXT(ABS(导出!AF156),"#.00")=TEXT(ABS(计算!AF156), "#.00")</f>
        <v>1</v>
      </c>
      <c r="AG158" s="65" t="b">
        <f>TEXT(导出!AG156,"#.00")=TEXT(计算!AG156, "#.00")</f>
        <v>1</v>
      </c>
      <c r="AH158" s="65" t="b">
        <f>TEXT(导出!AH156,"#.00")=TEXT(计算!AH156, "#.00")</f>
        <v>1</v>
      </c>
      <c r="AI158">
        <v>0</v>
      </c>
      <c r="AJ158" s="3">
        <v>41912.6862847222</v>
      </c>
      <c r="AK158" s="2" t="s">
        <v>1861</v>
      </c>
    </row>
    <row r="159" spans="1:37" x14ac:dyDescent="0.15">
      <c r="A159" s="2" t="s">
        <v>1860</v>
      </c>
      <c r="B159">
        <v>221</v>
      </c>
      <c r="C159" s="3">
        <v>41671</v>
      </c>
      <c r="D159" s="2" t="s">
        <v>37</v>
      </c>
      <c r="E159" s="2" t="s">
        <v>1859</v>
      </c>
      <c r="F159" s="2" t="s">
        <v>41</v>
      </c>
      <c r="G159" s="2" t="s">
        <v>352</v>
      </c>
      <c r="H159" s="2" t="s">
        <v>353</v>
      </c>
      <c r="I159" s="65" t="b">
        <f>导出!I157=计算!I157</f>
        <v>1</v>
      </c>
      <c r="J159" s="65" t="b">
        <f>导出!J157=计算!J157</f>
        <v>1</v>
      </c>
      <c r="K159" s="65" t="b">
        <f>导出!K157=计算!K157</f>
        <v>1</v>
      </c>
      <c r="L159" s="65" t="b">
        <f>导出!L157=计算!L157</f>
        <v>1</v>
      </c>
      <c r="M159" s="65" t="b">
        <f>导出!M157=计算!M157</f>
        <v>1</v>
      </c>
      <c r="N159" s="65" t="b">
        <f>TEXT(导出!N157,"#.00")=TEXT(计算!N157, "#.00")</f>
        <v>1</v>
      </c>
      <c r="O159" s="65" t="b">
        <f>TEXT(导出!O157,"#.00")=TEXT(计算!O157, "#.00")</f>
        <v>1</v>
      </c>
      <c r="P159" s="65" t="b">
        <f>TEXT(导出!P157,"#.00")=TEXT(计算!P157, "#.00")</f>
        <v>1</v>
      </c>
      <c r="Q159" s="65" t="b">
        <f>TEXT(导出!Q157,"#.00")=TEXT(计算!Q157, "#.00")</f>
        <v>1</v>
      </c>
      <c r="R159" s="65" t="b">
        <f>TEXT(导出!R157,"#.00")=TEXT(计算!R157, "#.00")</f>
        <v>1</v>
      </c>
      <c r="S159" s="65" t="b">
        <f>TEXT(导出!S157,"#.00")=TEXT(计算!S157, "#.00")</f>
        <v>1</v>
      </c>
      <c r="T159" s="65" t="b">
        <f>TEXT(导出!T157,"#.00")=TEXT(计算!T157, "#.00")</f>
        <v>1</v>
      </c>
      <c r="U159" s="65" t="b">
        <f>TEXT(导出!U157,"#.00")=TEXT(计算!U157, "#.00")</f>
        <v>1</v>
      </c>
      <c r="V159" s="65" t="b">
        <f>TEXT(导出!V157,"#.00")=TEXT(计算!V157*100, "#.00")</f>
        <v>1</v>
      </c>
      <c r="W159" s="65" t="b">
        <f>TEXT(导出!W157,"#.00")=TEXT(计算!W157, "#.00")</f>
        <v>1</v>
      </c>
      <c r="X159" s="65" t="b">
        <f>TEXT(导出!X157,"#.00")=TEXT(计算!X157, "#.00")</f>
        <v>1</v>
      </c>
      <c r="Y159" s="65" t="b">
        <f>TEXT(导出!Y157,"#.00")=TEXT(计算!Y157, "#.00")</f>
        <v>1</v>
      </c>
      <c r="Z159" s="65" t="b">
        <f>TEXT(导出!Z157,"#.00")=TEXT(计算!Z157, "#.00")</f>
        <v>1</v>
      </c>
      <c r="AA159" s="65" t="b">
        <f>TEXT(导出!AA157,"#.00")=TEXT(计算!AA157*100, "#.00")</f>
        <v>1</v>
      </c>
      <c r="AB159" s="65" t="b">
        <f>TEXT(导出!AB157,"#.00")=TEXT(计算!AB157, "#.00")</f>
        <v>1</v>
      </c>
      <c r="AC159" s="65" t="b">
        <f>TEXT(导出!AC157,"#.00")=TEXT(计算!AC157, "#.00")</f>
        <v>1</v>
      </c>
      <c r="AD159" s="65" t="b">
        <f>TEXT(导出!AD157,"#.00")=TEXT(计算!AD157, "#.00")</f>
        <v>1</v>
      </c>
      <c r="AE159" s="65" t="b">
        <f>ABS(导出!AE157-计算!AE157)&lt;10</f>
        <v>1</v>
      </c>
      <c r="AF159" s="65" t="b">
        <f>TEXT(ABS(导出!AF157),"#.00")=TEXT(ABS(计算!AF157), "#.00")</f>
        <v>1</v>
      </c>
      <c r="AG159" s="65" t="b">
        <f>TEXT(导出!AG157,"#.00")=TEXT(计算!AG157, "#.00")</f>
        <v>1</v>
      </c>
      <c r="AH159" s="65" t="b">
        <f>TEXT(导出!AH157,"#.00")=TEXT(计算!AH157, "#.00")</f>
        <v>1</v>
      </c>
      <c r="AI159">
        <v>0</v>
      </c>
      <c r="AJ159" s="3">
        <v>41912.6862384259</v>
      </c>
      <c r="AK159" s="2" t="s">
        <v>1858</v>
      </c>
    </row>
    <row r="160" spans="1:37" x14ac:dyDescent="0.15">
      <c r="A160" s="2" t="s">
        <v>1857</v>
      </c>
      <c r="B160">
        <v>1117</v>
      </c>
      <c r="C160" s="3">
        <v>41699</v>
      </c>
      <c r="D160" s="2" t="s">
        <v>37</v>
      </c>
      <c r="E160" s="2" t="s">
        <v>1856</v>
      </c>
      <c r="F160" s="2" t="s">
        <v>38</v>
      </c>
      <c r="G160" s="2" t="s">
        <v>358</v>
      </c>
      <c r="H160" s="2" t="s">
        <v>359</v>
      </c>
      <c r="I160" s="65" t="b">
        <f>导出!I158=计算!I158</f>
        <v>1</v>
      </c>
      <c r="J160" s="65" t="b">
        <f>导出!J158=计算!J158</f>
        <v>1</v>
      </c>
      <c r="K160" s="65" t="b">
        <f>导出!K158=计算!K158</f>
        <v>1</v>
      </c>
      <c r="L160" s="65" t="b">
        <f>导出!L158=计算!L158</f>
        <v>1</v>
      </c>
      <c r="M160" s="65" t="b">
        <f>导出!M158=计算!M158</f>
        <v>1</v>
      </c>
      <c r="N160" s="65" t="b">
        <f>TEXT(导出!N158,"#.00")=TEXT(计算!N158, "#.00")</f>
        <v>1</v>
      </c>
      <c r="O160" s="65" t="b">
        <f>TEXT(导出!O158,"#.00")=TEXT(计算!O158, "#.00")</f>
        <v>1</v>
      </c>
      <c r="P160" s="65" t="b">
        <f>TEXT(导出!P158,"#.00")=TEXT(计算!P158, "#.00")</f>
        <v>1</v>
      </c>
      <c r="Q160" s="65" t="b">
        <f>TEXT(导出!Q158,"#.00")=TEXT(计算!Q158, "#.00")</f>
        <v>0</v>
      </c>
      <c r="R160" s="65" t="b">
        <f>TEXT(导出!R158,"#.00")=TEXT(计算!R158, "#.00")</f>
        <v>1</v>
      </c>
      <c r="S160" s="65" t="b">
        <f>TEXT(导出!S158,"#.00")=TEXT(计算!S158, "#.00")</f>
        <v>1</v>
      </c>
      <c r="T160" s="65" t="b">
        <f>TEXT(导出!T158,"#.00")=TEXT(计算!T158, "#.00")</f>
        <v>1</v>
      </c>
      <c r="U160" s="65" t="b">
        <f>TEXT(导出!U158,"#.00")=TEXT(计算!U158, "#.00")</f>
        <v>1</v>
      </c>
      <c r="V160" s="65" t="b">
        <f>TEXT(导出!V158,"#.00")=TEXT(计算!V158*100, "#.00")</f>
        <v>1</v>
      </c>
      <c r="W160" s="65" t="b">
        <f>TEXT(导出!W158,"#.00")=TEXT(计算!W158, "#.00")</f>
        <v>1</v>
      </c>
      <c r="X160" s="65" t="b">
        <f>TEXT(导出!X158,"#.00")=TEXT(计算!X158, "#.00")</f>
        <v>1</v>
      </c>
      <c r="Y160" s="65" t="b">
        <f>TEXT(导出!Y158,"#.00")=TEXT(计算!Y158, "#.00")</f>
        <v>1</v>
      </c>
      <c r="Z160" s="65" t="b">
        <f>TEXT(导出!Z158,"#.00")=TEXT(计算!Z158, "#.00")</f>
        <v>1</v>
      </c>
      <c r="AA160" s="65" t="b">
        <f>TEXT(导出!AA158,"#.00")=TEXT(计算!AA158*100, "#.00")</f>
        <v>1</v>
      </c>
      <c r="AB160" s="65" t="b">
        <f>TEXT(导出!AB158,"#.00")=TEXT(计算!AB158, "#.00")</f>
        <v>1</v>
      </c>
      <c r="AC160" s="65" t="b">
        <f>TEXT(导出!AC158,"#.00")=TEXT(计算!AC158, "#.00")</f>
        <v>1</v>
      </c>
      <c r="AD160" s="65" t="b">
        <f>TEXT(导出!AD158,"#.00")=TEXT(计算!AD158, "#.00")</f>
        <v>1</v>
      </c>
      <c r="AE160" s="65" t="b">
        <f>ABS(导出!AE158-计算!AE158)&lt;10</f>
        <v>1</v>
      </c>
      <c r="AF160" s="65" t="b">
        <f>TEXT(ABS(导出!AF158),"#.00")=TEXT(ABS(计算!AF158), "#.00")</f>
        <v>1</v>
      </c>
      <c r="AG160" s="65" t="b">
        <f>TEXT(导出!AG158,"#.00")=TEXT(计算!AG158, "#.00")</f>
        <v>1</v>
      </c>
      <c r="AH160" s="65" t="b">
        <f>TEXT(导出!AH158,"#.00")=TEXT(计算!AH158, "#.00")</f>
        <v>1</v>
      </c>
      <c r="AI160">
        <v>0</v>
      </c>
      <c r="AJ160" s="3">
        <v>41912.6862847222</v>
      </c>
      <c r="AK160" s="2" t="s">
        <v>1855</v>
      </c>
    </row>
    <row r="161" spans="1:37" x14ac:dyDescent="0.15">
      <c r="A161" s="2" t="s">
        <v>1854</v>
      </c>
      <c r="B161">
        <v>226</v>
      </c>
      <c r="C161" s="3">
        <v>41699</v>
      </c>
      <c r="D161" s="2" t="s">
        <v>37</v>
      </c>
      <c r="E161" s="2" t="s">
        <v>1853</v>
      </c>
      <c r="F161" s="2" t="s">
        <v>41</v>
      </c>
      <c r="G161" s="2" t="s">
        <v>356</v>
      </c>
      <c r="H161" s="2" t="s">
        <v>357</v>
      </c>
      <c r="I161" s="65" t="b">
        <f>导出!I159=计算!I159</f>
        <v>1</v>
      </c>
      <c r="J161" s="65" t="b">
        <f>导出!J159=计算!J159</f>
        <v>1</v>
      </c>
      <c r="K161" s="65" t="b">
        <f>导出!K159=计算!K159</f>
        <v>1</v>
      </c>
      <c r="L161" s="65" t="b">
        <f>导出!L159=计算!L159</f>
        <v>1</v>
      </c>
      <c r="M161" s="65" t="b">
        <f>导出!M159=计算!M159</f>
        <v>1</v>
      </c>
      <c r="N161" s="65" t="b">
        <f>TEXT(导出!N159,"#.00")=TEXT(计算!N159, "#.00")</f>
        <v>1</v>
      </c>
      <c r="O161" s="65" t="b">
        <f>TEXT(导出!O159,"#.00")=TEXT(计算!O159, "#.00")</f>
        <v>1</v>
      </c>
      <c r="P161" s="65" t="b">
        <f>TEXT(导出!P159,"#.00")=TEXT(计算!P159, "#.00")</f>
        <v>1</v>
      </c>
      <c r="Q161" s="65" t="b">
        <f>TEXT(导出!Q159,"#.00")=TEXT(计算!Q159, "#.00")</f>
        <v>1</v>
      </c>
      <c r="R161" s="65" t="b">
        <f>TEXT(导出!R159,"#.00")=TEXT(计算!R159, "#.00")</f>
        <v>1</v>
      </c>
      <c r="S161" s="65" t="b">
        <f>TEXT(导出!S159,"#.00")=TEXT(计算!S159, "#.00")</f>
        <v>1</v>
      </c>
      <c r="T161" s="65" t="b">
        <f>TEXT(导出!T159,"#.00")=TEXT(计算!T159, "#.00")</f>
        <v>1</v>
      </c>
      <c r="U161" s="65" t="b">
        <f>TEXT(导出!U159,"#.00")=TEXT(计算!U159, "#.00")</f>
        <v>1</v>
      </c>
      <c r="V161" s="65" t="b">
        <f>TEXT(导出!V159,"#.00")=TEXT(计算!V159*100, "#.00")</f>
        <v>1</v>
      </c>
      <c r="W161" s="65" t="b">
        <f>TEXT(导出!W159,"#.00")=TEXT(计算!W159, "#.00")</f>
        <v>1</v>
      </c>
      <c r="X161" s="65" t="b">
        <f>TEXT(导出!X159,"#.00")=TEXT(计算!X159, "#.00")</f>
        <v>1</v>
      </c>
      <c r="Y161" s="65" t="b">
        <f>TEXT(导出!Y159,"#.00")=TEXT(计算!Y159, "#.00")</f>
        <v>1</v>
      </c>
      <c r="Z161" s="65" t="b">
        <f>TEXT(导出!Z159,"#.00")=TEXT(计算!Z159, "#.00")</f>
        <v>1</v>
      </c>
      <c r="AA161" s="65" t="b">
        <f>TEXT(导出!AA159,"#.00")=TEXT(计算!AA159*100, "#.00")</f>
        <v>1</v>
      </c>
      <c r="AB161" s="65" t="b">
        <f>TEXT(导出!AB159,"#.00")=TEXT(计算!AB159, "#.00")</f>
        <v>1</v>
      </c>
      <c r="AC161" s="65" t="b">
        <f>TEXT(导出!AC159,"#.00")=TEXT(计算!AC159, "#.00")</f>
        <v>1</v>
      </c>
      <c r="AD161" s="65" t="b">
        <f>TEXT(导出!AD159,"#.00")=TEXT(计算!AD159, "#.00")</f>
        <v>1</v>
      </c>
      <c r="AE161" s="65" t="b">
        <f>ABS(导出!AE159-计算!AE159)&lt;10</f>
        <v>1</v>
      </c>
      <c r="AF161" s="65" t="b">
        <f>TEXT(ABS(导出!AF159),"#.00")=TEXT(ABS(计算!AF159), "#.00")</f>
        <v>1</v>
      </c>
      <c r="AG161" s="65" t="b">
        <f>TEXT(导出!AG159,"#.00")=TEXT(计算!AG159, "#.00")</f>
        <v>1</v>
      </c>
      <c r="AH161" s="65" t="b">
        <f>TEXT(导出!AH159,"#.00")=TEXT(计算!AH159, "#.00")</f>
        <v>1</v>
      </c>
      <c r="AI161">
        <v>0</v>
      </c>
      <c r="AJ161" s="3">
        <v>41912.6862384259</v>
      </c>
      <c r="AK161" s="2" t="s">
        <v>1852</v>
      </c>
    </row>
    <row r="162" spans="1:37" x14ac:dyDescent="0.15">
      <c r="A162" s="2" t="s">
        <v>1851</v>
      </c>
      <c r="B162">
        <v>1109</v>
      </c>
      <c r="C162" s="3">
        <v>41699</v>
      </c>
      <c r="D162" s="2" t="s">
        <v>37</v>
      </c>
      <c r="E162" s="2" t="s">
        <v>1850</v>
      </c>
      <c r="F162" s="2" t="s">
        <v>38</v>
      </c>
      <c r="G162" s="2" t="s">
        <v>354</v>
      </c>
      <c r="H162" s="2" t="s">
        <v>355</v>
      </c>
      <c r="I162" s="65" t="b">
        <f>导出!I160=计算!I160</f>
        <v>1</v>
      </c>
      <c r="J162" s="65" t="b">
        <f>导出!J160=计算!J160</f>
        <v>1</v>
      </c>
      <c r="K162" s="65" t="b">
        <f>导出!K160=计算!K160</f>
        <v>1</v>
      </c>
      <c r="L162" s="65" t="b">
        <f>导出!L160=计算!L160</f>
        <v>1</v>
      </c>
      <c r="M162" s="65" t="b">
        <f>导出!M160=计算!M160</f>
        <v>1</v>
      </c>
      <c r="N162" s="65" t="b">
        <f>TEXT(导出!N160,"#.00")=TEXT(计算!N160, "#.00")</f>
        <v>1</v>
      </c>
      <c r="O162" s="65" t="b">
        <f>TEXT(导出!O160,"#.00")=TEXT(计算!O160, "#.00")</f>
        <v>1</v>
      </c>
      <c r="P162" s="65" t="b">
        <f>TEXT(导出!P160,"#.00")=TEXT(计算!P160, "#.00")</f>
        <v>1</v>
      </c>
      <c r="Q162" s="65" t="b">
        <f>TEXT(导出!Q160,"#.00")=TEXT(计算!Q160, "#.00")</f>
        <v>0</v>
      </c>
      <c r="R162" s="65" t="b">
        <f>TEXT(导出!R160,"#.00")=TEXT(计算!R160, "#.00")</f>
        <v>1</v>
      </c>
      <c r="S162" s="65" t="b">
        <f>TEXT(导出!S160,"#.00")=TEXT(计算!S160, "#.00")</f>
        <v>1</v>
      </c>
      <c r="T162" s="65" t="b">
        <f>TEXT(导出!T160,"#.00")=TEXT(计算!T160, "#.00")</f>
        <v>1</v>
      </c>
      <c r="U162" s="65" t="b">
        <f>TEXT(导出!U160,"#.00")=TEXT(计算!U160, "#.00")</f>
        <v>1</v>
      </c>
      <c r="V162" s="65" t="b">
        <f>TEXT(导出!V160,"#.00")=TEXT(计算!V160*100, "#.00")</f>
        <v>1</v>
      </c>
      <c r="W162" s="65" t="b">
        <f>TEXT(导出!W160,"#.00")=TEXT(计算!W160, "#.00")</f>
        <v>1</v>
      </c>
      <c r="X162" s="65" t="b">
        <f>TEXT(导出!X160,"#.00")=TEXT(计算!X160, "#.00")</f>
        <v>1</v>
      </c>
      <c r="Y162" s="65" t="b">
        <f>TEXT(导出!Y160,"#.00")=TEXT(计算!Y160, "#.00")</f>
        <v>1</v>
      </c>
      <c r="Z162" s="65" t="b">
        <f>TEXT(导出!Z160,"#.00")=TEXT(计算!Z160, "#.00")</f>
        <v>1</v>
      </c>
      <c r="AA162" s="65" t="b">
        <f>TEXT(导出!AA160,"#.00")=TEXT(计算!AA160*100, "#.00")</f>
        <v>1</v>
      </c>
      <c r="AB162" s="65" t="b">
        <f>TEXT(导出!AB160,"#.00")=TEXT(计算!AB160, "#.00")</f>
        <v>1</v>
      </c>
      <c r="AC162" s="65" t="b">
        <f>TEXT(导出!AC160,"#.00")=TEXT(计算!AC160, "#.00")</f>
        <v>1</v>
      </c>
      <c r="AD162" s="65" t="b">
        <f>TEXT(导出!AD160,"#.00")=TEXT(计算!AD160, "#.00")</f>
        <v>1</v>
      </c>
      <c r="AE162" s="65" t="b">
        <f>ABS(导出!AE160-计算!AE160)&lt;10</f>
        <v>0</v>
      </c>
      <c r="AF162" s="65" t="b">
        <f>TEXT(ABS(导出!AF160),"#.00")=TEXT(ABS(计算!AF160), "#.00")</f>
        <v>1</v>
      </c>
      <c r="AG162" s="65" t="b">
        <f>TEXT(导出!AG160,"#.00")=TEXT(计算!AG160, "#.00")</f>
        <v>1</v>
      </c>
      <c r="AH162" s="65" t="b">
        <f>TEXT(导出!AH160,"#.00")=TEXT(计算!AH160, "#.00")</f>
        <v>1</v>
      </c>
      <c r="AI162">
        <v>0</v>
      </c>
      <c r="AJ162" s="3">
        <v>41912.6862847222</v>
      </c>
      <c r="AK162" s="2" t="s">
        <v>1849</v>
      </c>
    </row>
    <row r="163" spans="1:37" x14ac:dyDescent="0.15">
      <c r="A163" s="2" t="s">
        <v>1848</v>
      </c>
      <c r="B163">
        <v>1126</v>
      </c>
      <c r="C163" s="3">
        <v>41730</v>
      </c>
      <c r="D163" s="2" t="s">
        <v>37</v>
      </c>
      <c r="E163" s="2" t="s">
        <v>1847</v>
      </c>
      <c r="F163" s="2" t="s">
        <v>38</v>
      </c>
      <c r="G163" s="2" t="s">
        <v>364</v>
      </c>
      <c r="H163" s="2" t="s">
        <v>365</v>
      </c>
      <c r="I163" s="65" t="b">
        <f>导出!I161=计算!I161</f>
        <v>1</v>
      </c>
      <c r="J163" s="65" t="b">
        <f>导出!J161=计算!J161</f>
        <v>1</v>
      </c>
      <c r="K163" s="65" t="b">
        <f>导出!K161=计算!K161</f>
        <v>1</v>
      </c>
      <c r="L163" s="65" t="b">
        <f>导出!L161=计算!L161</f>
        <v>1</v>
      </c>
      <c r="M163" s="65" t="b">
        <f>导出!M161=计算!M161</f>
        <v>1</v>
      </c>
      <c r="N163" s="65" t="b">
        <f>TEXT(导出!N161,"#.00")=TEXT(计算!N161, "#.00")</f>
        <v>0</v>
      </c>
      <c r="O163" s="65" t="b">
        <f>TEXT(导出!O161,"#.00")=TEXT(计算!O161, "#.00")</f>
        <v>1</v>
      </c>
      <c r="P163" s="65" t="b">
        <f>TEXT(导出!P161,"#.00")=TEXT(计算!P161, "#.00")</f>
        <v>1</v>
      </c>
      <c r="Q163" s="65" t="b">
        <f>TEXT(导出!Q161,"#.00")=TEXT(计算!Q161, "#.00")</f>
        <v>0</v>
      </c>
      <c r="R163" s="65" t="b">
        <f>TEXT(导出!R161,"#.00")=TEXT(计算!R161, "#.00")</f>
        <v>1</v>
      </c>
      <c r="S163" s="65" t="b">
        <f>TEXT(导出!S161,"#.00")=TEXT(计算!S161, "#.00")</f>
        <v>1</v>
      </c>
      <c r="T163" s="65" t="b">
        <f>TEXT(导出!T161,"#.00")=TEXT(计算!T161, "#.00")</f>
        <v>1</v>
      </c>
      <c r="U163" s="65" t="b">
        <f>TEXT(导出!U161,"#.00")=TEXT(计算!U161, "#.00")</f>
        <v>1</v>
      </c>
      <c r="V163" s="65" t="b">
        <f>TEXT(导出!V161,"#.00")=TEXT(计算!V161*100, "#.00")</f>
        <v>1</v>
      </c>
      <c r="W163" s="65" t="b">
        <f>TEXT(导出!W161,"#.00")=TEXT(计算!W161, "#.00")</f>
        <v>1</v>
      </c>
      <c r="X163" s="65" t="b">
        <f>TEXT(导出!X161,"#.00")=TEXT(计算!X161, "#.00")</f>
        <v>1</v>
      </c>
      <c r="Y163" s="65" t="b">
        <f>TEXT(导出!Y161,"#.00")=TEXT(计算!Y161, "#.00")</f>
        <v>1</v>
      </c>
      <c r="Z163" s="65" t="b">
        <f>TEXT(导出!Z161,"#.00")=TEXT(计算!Z161, "#.00")</f>
        <v>1</v>
      </c>
      <c r="AA163" s="65" t="b">
        <f>TEXT(导出!AA161,"#.00")=TEXT(计算!AA161*100, "#.00")</f>
        <v>1</v>
      </c>
      <c r="AB163" s="65" t="b">
        <f>TEXT(导出!AB161,"#.00")=TEXT(计算!AB161, "#.00")</f>
        <v>1</v>
      </c>
      <c r="AC163" s="65" t="b">
        <f>TEXT(导出!AC161,"#.00")=TEXT(计算!AC161, "#.00")</f>
        <v>1</v>
      </c>
      <c r="AD163" s="65" t="b">
        <f>TEXT(导出!AD161,"#.00")=TEXT(计算!AD161, "#.00")</f>
        <v>1</v>
      </c>
      <c r="AE163" s="65" t="b">
        <f>ABS(导出!AE161-计算!AE161)&lt;10</f>
        <v>1</v>
      </c>
      <c r="AF163" s="65" t="b">
        <f>TEXT(ABS(导出!AF161),"#.00")=TEXT(ABS(计算!AF161), "#.00")</f>
        <v>1</v>
      </c>
      <c r="AG163" s="65" t="b">
        <f>TEXT(导出!AG161,"#.00")=TEXT(计算!AG161, "#.00")</f>
        <v>1</v>
      </c>
      <c r="AH163" s="65" t="b">
        <f>TEXT(导出!AH161,"#.00")=TEXT(计算!AH161, "#.00")</f>
        <v>1</v>
      </c>
      <c r="AI163">
        <v>0</v>
      </c>
      <c r="AJ163" s="3">
        <v>41912.6862847222</v>
      </c>
      <c r="AK163" s="2" t="s">
        <v>1846</v>
      </c>
    </row>
    <row r="164" spans="1:37" x14ac:dyDescent="0.15">
      <c r="A164" s="2" t="s">
        <v>1845</v>
      </c>
      <c r="B164">
        <v>231</v>
      </c>
      <c r="C164" s="3">
        <v>41730</v>
      </c>
      <c r="D164" s="2" t="s">
        <v>37</v>
      </c>
      <c r="E164" s="2" t="s">
        <v>1844</v>
      </c>
      <c r="F164" s="2" t="s">
        <v>41</v>
      </c>
      <c r="G164" s="2" t="s">
        <v>362</v>
      </c>
      <c r="H164" s="2" t="s">
        <v>363</v>
      </c>
      <c r="I164" s="65" t="b">
        <f>导出!I162=计算!I162</f>
        <v>1</v>
      </c>
      <c r="J164" s="65" t="b">
        <f>导出!J162=计算!J162</f>
        <v>1</v>
      </c>
      <c r="K164" s="65" t="b">
        <f>导出!K162=计算!K162</f>
        <v>1</v>
      </c>
      <c r="L164" s="65" t="b">
        <f>导出!L162=计算!L162</f>
        <v>1</v>
      </c>
      <c r="M164" s="65" t="b">
        <f>导出!M162=计算!M162</f>
        <v>1</v>
      </c>
      <c r="N164" s="65" t="b">
        <f>TEXT(导出!N162,"#.00")=TEXT(计算!N162, "#.00")</f>
        <v>1</v>
      </c>
      <c r="O164" s="65" t="b">
        <f>TEXT(导出!O162,"#.00")=TEXT(计算!O162, "#.00")</f>
        <v>1</v>
      </c>
      <c r="P164" s="65" t="b">
        <f>TEXT(导出!P162,"#.00")=TEXT(计算!P162, "#.00")</f>
        <v>1</v>
      </c>
      <c r="Q164" s="65" t="b">
        <f>TEXT(导出!Q162,"#.00")=TEXT(计算!Q162, "#.00")</f>
        <v>1</v>
      </c>
      <c r="R164" s="65" t="b">
        <f>TEXT(导出!R162,"#.00")=TEXT(计算!R162, "#.00")</f>
        <v>1</v>
      </c>
      <c r="S164" s="65" t="b">
        <f>TEXT(导出!S162,"#.00")=TEXT(计算!S162, "#.00")</f>
        <v>1</v>
      </c>
      <c r="T164" s="65" t="b">
        <f>TEXT(导出!T162,"#.00")=TEXT(计算!T162, "#.00")</f>
        <v>1</v>
      </c>
      <c r="U164" s="65" t="b">
        <f>TEXT(导出!U162,"#.00")=TEXT(计算!U162, "#.00")</f>
        <v>1</v>
      </c>
      <c r="V164" s="65" t="b">
        <f>TEXT(导出!V162,"#.00")=TEXT(计算!V162*100, "#.00")</f>
        <v>1</v>
      </c>
      <c r="W164" s="65" t="b">
        <f>TEXT(导出!W162,"#.00")=TEXT(计算!W162, "#.00")</f>
        <v>1</v>
      </c>
      <c r="X164" s="65" t="b">
        <f>TEXT(导出!X162,"#.00")=TEXT(计算!X162, "#.00")</f>
        <v>1</v>
      </c>
      <c r="Y164" s="65" t="b">
        <f>TEXT(导出!Y162,"#.00")=TEXT(计算!Y162, "#.00")</f>
        <v>1</v>
      </c>
      <c r="Z164" s="65" t="b">
        <f>TEXT(导出!Z162,"#.00")=TEXT(计算!Z162, "#.00")</f>
        <v>1</v>
      </c>
      <c r="AA164" s="65" t="b">
        <f>TEXT(导出!AA162,"#.00")=TEXT(计算!AA162*100, "#.00")</f>
        <v>1</v>
      </c>
      <c r="AB164" s="65" t="b">
        <f>TEXT(导出!AB162,"#.00")=TEXT(计算!AB162, "#.00")</f>
        <v>1</v>
      </c>
      <c r="AC164" s="65" t="b">
        <f>TEXT(导出!AC162,"#.00")=TEXT(计算!AC162, "#.00")</f>
        <v>1</v>
      </c>
      <c r="AD164" s="65" t="b">
        <f>TEXT(导出!AD162,"#.00")=TEXT(计算!AD162, "#.00")</f>
        <v>1</v>
      </c>
      <c r="AE164" s="65" t="b">
        <f>ABS(导出!AE162-计算!AE162)&lt;10</f>
        <v>1</v>
      </c>
      <c r="AF164" s="65" t="b">
        <f>TEXT(ABS(导出!AF162),"#.00")=TEXT(ABS(计算!AF162), "#.00")</f>
        <v>1</v>
      </c>
      <c r="AG164" s="65" t="b">
        <f>TEXT(导出!AG162,"#.00")=TEXT(计算!AG162, "#.00")</f>
        <v>1</v>
      </c>
      <c r="AH164" s="65" t="b">
        <f>TEXT(导出!AH162,"#.00")=TEXT(计算!AH162, "#.00")</f>
        <v>1</v>
      </c>
      <c r="AI164">
        <v>0</v>
      </c>
      <c r="AJ164" s="3">
        <v>41912.6862384259</v>
      </c>
      <c r="AK164" s="2" t="s">
        <v>1843</v>
      </c>
    </row>
    <row r="165" spans="1:37" x14ac:dyDescent="0.15">
      <c r="A165" s="2" t="s">
        <v>1842</v>
      </c>
      <c r="B165">
        <v>1133</v>
      </c>
      <c r="C165" s="3">
        <v>41730</v>
      </c>
      <c r="D165" s="2" t="s">
        <v>37</v>
      </c>
      <c r="E165" s="2" t="s">
        <v>1841</v>
      </c>
      <c r="F165" s="2" t="s">
        <v>38</v>
      </c>
      <c r="G165" s="2" t="s">
        <v>360</v>
      </c>
      <c r="H165" s="2" t="s">
        <v>361</v>
      </c>
      <c r="I165" s="65" t="b">
        <f>导出!I163=计算!I163</f>
        <v>1</v>
      </c>
      <c r="J165" s="65" t="b">
        <f>导出!J163=计算!J163</f>
        <v>1</v>
      </c>
      <c r="K165" s="65" t="b">
        <f>导出!K163=计算!K163</f>
        <v>1</v>
      </c>
      <c r="L165" s="65" t="b">
        <f>导出!L163=计算!L163</f>
        <v>1</v>
      </c>
      <c r="M165" s="65" t="b">
        <f>导出!M163=计算!M163</f>
        <v>1</v>
      </c>
      <c r="N165" s="65" t="b">
        <f>TEXT(导出!N163,"#.00")=TEXT(计算!N163, "#.00")</f>
        <v>1</v>
      </c>
      <c r="O165" s="65" t="b">
        <f>TEXT(导出!O163,"#.00")=TEXT(计算!O163, "#.00")</f>
        <v>1</v>
      </c>
      <c r="P165" s="65" t="b">
        <f>TEXT(导出!P163,"#.00")=TEXT(计算!P163, "#.00")</f>
        <v>1</v>
      </c>
      <c r="Q165" s="65" t="b">
        <f>TEXT(导出!Q163,"#.00")=TEXT(计算!Q163, "#.00")</f>
        <v>1</v>
      </c>
      <c r="R165" s="65" t="b">
        <f>TEXT(导出!R163,"#.00")=TEXT(计算!R163, "#.00")</f>
        <v>1</v>
      </c>
      <c r="S165" s="65" t="b">
        <f>TEXT(导出!S163,"#.00")=TEXT(计算!S163, "#.00")</f>
        <v>0</v>
      </c>
      <c r="T165" s="65" t="b">
        <f>TEXT(导出!T163,"#.00")=TEXT(计算!T163, "#.00")</f>
        <v>1</v>
      </c>
      <c r="U165" s="65" t="b">
        <f>TEXT(导出!U163,"#.00")=TEXT(计算!U163, "#.00")</f>
        <v>1</v>
      </c>
      <c r="V165" s="65" t="b">
        <f>TEXT(导出!V163,"#.00")=TEXT(计算!V163*100, "#.00")</f>
        <v>1</v>
      </c>
      <c r="W165" s="65" t="b">
        <f>TEXT(导出!W163,"#.00")=TEXT(计算!W163, "#.00")</f>
        <v>1</v>
      </c>
      <c r="X165" s="65" t="b">
        <f>TEXT(导出!X163,"#.00")=TEXT(计算!X163, "#.00")</f>
        <v>1</v>
      </c>
      <c r="Y165" s="65" t="b">
        <f>TEXT(导出!Y163,"#.00")=TEXT(计算!Y163, "#.00")</f>
        <v>1</v>
      </c>
      <c r="Z165" s="65" t="b">
        <f>TEXT(导出!Z163,"#.00")=TEXT(计算!Z163, "#.00")</f>
        <v>1</v>
      </c>
      <c r="AA165" s="65" t="b">
        <f>TEXT(导出!AA163,"#.00")=TEXT(计算!AA163*100, "#.00")</f>
        <v>1</v>
      </c>
      <c r="AB165" s="65" t="b">
        <f>TEXT(导出!AB163,"#.00")=TEXT(计算!AB163, "#.00")</f>
        <v>1</v>
      </c>
      <c r="AC165" s="65" t="b">
        <f>TEXT(导出!AC163,"#.00")=TEXT(计算!AC163, "#.00")</f>
        <v>1</v>
      </c>
      <c r="AD165" s="65" t="b">
        <f>TEXT(导出!AD163,"#.00")=TEXT(计算!AD163, "#.00")</f>
        <v>1</v>
      </c>
      <c r="AE165" s="65" t="b">
        <f>ABS(导出!AE163-计算!AE163)&lt;10</f>
        <v>1</v>
      </c>
      <c r="AF165" s="65" t="b">
        <f>TEXT(ABS(导出!AF163),"#.00")=TEXT(ABS(计算!AF163), "#.00")</f>
        <v>1</v>
      </c>
      <c r="AG165" s="65" t="b">
        <f>TEXT(导出!AG163,"#.00")=TEXT(计算!AG163, "#.00")</f>
        <v>1</v>
      </c>
      <c r="AH165" s="65" t="b">
        <f>TEXT(导出!AH163,"#.00")=TEXT(计算!AH163, "#.00")</f>
        <v>1</v>
      </c>
      <c r="AI165">
        <v>0</v>
      </c>
      <c r="AJ165" s="3">
        <v>41912.6862847222</v>
      </c>
      <c r="AK165" s="2" t="s">
        <v>1840</v>
      </c>
    </row>
    <row r="166" spans="1:37" x14ac:dyDescent="0.15">
      <c r="A166" s="2" t="s">
        <v>1839</v>
      </c>
      <c r="B166">
        <v>1151</v>
      </c>
      <c r="C166" s="3">
        <v>41744</v>
      </c>
      <c r="D166" s="2" t="s">
        <v>37</v>
      </c>
      <c r="E166" s="2" t="s">
        <v>1838</v>
      </c>
      <c r="F166" s="2" t="s">
        <v>38</v>
      </c>
      <c r="G166" s="2" t="s">
        <v>366</v>
      </c>
      <c r="H166" s="2" t="s">
        <v>367</v>
      </c>
      <c r="I166" s="65" t="b">
        <f>导出!I164=计算!I164</f>
        <v>1</v>
      </c>
      <c r="J166" s="65" t="b">
        <f>导出!J164=计算!J164</f>
        <v>1</v>
      </c>
      <c r="K166" s="65" t="b">
        <f>导出!K164=计算!K164</f>
        <v>1</v>
      </c>
      <c r="L166" s="65" t="b">
        <f>导出!L164=计算!L164</f>
        <v>1</v>
      </c>
      <c r="M166" s="65" t="b">
        <f>导出!M164=计算!M164</f>
        <v>1</v>
      </c>
      <c r="N166" s="65" t="b">
        <f>TEXT(导出!N164,"#.00")=TEXT(计算!N164, "#.00")</f>
        <v>1</v>
      </c>
      <c r="O166" s="65" t="b">
        <f>TEXT(导出!O164,"#.00")=TEXT(计算!O164, "#.00")</f>
        <v>1</v>
      </c>
      <c r="P166" s="65" t="b">
        <f>TEXT(导出!P164,"#.00")=TEXT(计算!P164, "#.00")</f>
        <v>1</v>
      </c>
      <c r="Q166" s="65" t="b">
        <f>TEXT(导出!Q164,"#.00")=TEXT(计算!Q164, "#.00")</f>
        <v>0</v>
      </c>
      <c r="R166" s="65" t="b">
        <f>TEXT(导出!R164,"#.00")=TEXT(计算!R164, "#.00")</f>
        <v>1</v>
      </c>
      <c r="S166" s="65" t="b">
        <f>TEXT(导出!S164,"#.00")=TEXT(计算!S164, "#.00")</f>
        <v>1</v>
      </c>
      <c r="T166" s="65" t="b">
        <f>TEXT(导出!T164,"#.00")=TEXT(计算!T164, "#.00")</f>
        <v>1</v>
      </c>
      <c r="U166" s="65" t="b">
        <f>TEXT(导出!U164,"#.00")=TEXT(计算!U164, "#.00")</f>
        <v>1</v>
      </c>
      <c r="V166" s="65" t="b">
        <f>TEXT(导出!V164,"#.00")=TEXT(计算!V164*100, "#.00")</f>
        <v>1</v>
      </c>
      <c r="W166" s="65" t="b">
        <f>TEXT(导出!W164,"#.00")=TEXT(计算!W164, "#.00")</f>
        <v>1</v>
      </c>
      <c r="X166" s="65" t="b">
        <f>TEXT(导出!X164,"#.00")=TEXT(计算!X164, "#.00")</f>
        <v>1</v>
      </c>
      <c r="Y166" s="65" t="b">
        <f>TEXT(导出!Y164,"#.00")=TEXT(计算!Y164, "#.00")</f>
        <v>1</v>
      </c>
      <c r="Z166" s="65" t="b">
        <f>TEXT(导出!Z164,"#.00")=TEXT(计算!Z164, "#.00")</f>
        <v>1</v>
      </c>
      <c r="AA166" s="65" t="b">
        <f>TEXT(导出!AA164,"#.00")=TEXT(计算!AA164*100, "#.00")</f>
        <v>1</v>
      </c>
      <c r="AB166" s="65" t="b">
        <f>TEXT(导出!AB164,"#.00")=TEXT(计算!AB164, "#.00")</f>
        <v>1</v>
      </c>
      <c r="AC166" s="65" t="b">
        <f>TEXT(导出!AC164,"#.00")=TEXT(计算!AC164, "#.00")</f>
        <v>1</v>
      </c>
      <c r="AD166" s="65" t="b">
        <f>TEXT(导出!AD164,"#.00")=TEXT(计算!AD164, "#.00")</f>
        <v>1</v>
      </c>
      <c r="AE166" s="65" t="b">
        <f>ABS(导出!AE164-计算!AE164)&lt;10</f>
        <v>1</v>
      </c>
      <c r="AF166" s="65" t="b">
        <f>TEXT(ABS(导出!AF164),"#.00")=TEXT(ABS(计算!AF164), "#.00")</f>
        <v>1</v>
      </c>
      <c r="AG166" s="65" t="b">
        <f>TEXT(导出!AG164,"#.00")=TEXT(计算!AG164, "#.00")</f>
        <v>1</v>
      </c>
      <c r="AH166" s="65" t="b">
        <f>TEXT(导出!AH164,"#.00")=TEXT(计算!AH164, "#.00")</f>
        <v>1</v>
      </c>
      <c r="AI166">
        <v>0</v>
      </c>
      <c r="AJ166" s="3">
        <v>41912.6862847222</v>
      </c>
      <c r="AK166" s="2" t="s">
        <v>1837</v>
      </c>
    </row>
    <row r="167" spans="1:37" x14ac:dyDescent="0.15">
      <c r="A167" s="2" t="s">
        <v>1836</v>
      </c>
      <c r="B167">
        <v>1141</v>
      </c>
      <c r="C167" s="3">
        <v>41745</v>
      </c>
      <c r="D167" s="2" t="s">
        <v>37</v>
      </c>
      <c r="E167" s="2" t="s">
        <v>1835</v>
      </c>
      <c r="F167" s="2" t="s">
        <v>38</v>
      </c>
      <c r="G167" s="2" t="s">
        <v>368</v>
      </c>
      <c r="H167" s="2" t="s">
        <v>369</v>
      </c>
      <c r="I167" s="65" t="b">
        <f>导出!I165=计算!I165</f>
        <v>1</v>
      </c>
      <c r="J167" s="65" t="b">
        <f>导出!J165=计算!J165</f>
        <v>1</v>
      </c>
      <c r="K167" s="65" t="b">
        <f>导出!K165=计算!K165</f>
        <v>1</v>
      </c>
      <c r="L167" s="65" t="b">
        <f>导出!L165=计算!L165</f>
        <v>1</v>
      </c>
      <c r="M167" s="65" t="b">
        <f>导出!M165=计算!M165</f>
        <v>1</v>
      </c>
      <c r="N167" s="65" t="b">
        <f>TEXT(导出!N165,"#.00")=TEXT(计算!N165, "#.00")</f>
        <v>1</v>
      </c>
      <c r="O167" s="65" t="b">
        <f>TEXT(导出!O165,"#.00")=TEXT(计算!O165, "#.00")</f>
        <v>1</v>
      </c>
      <c r="P167" s="65" t="b">
        <f>TEXT(导出!P165,"#.00")=TEXT(计算!P165, "#.00")</f>
        <v>1</v>
      </c>
      <c r="Q167" s="65" t="b">
        <f>TEXT(导出!Q165,"#.00")=TEXT(计算!Q165, "#.00")</f>
        <v>0</v>
      </c>
      <c r="R167" s="65" t="b">
        <f>TEXT(导出!R165,"#.00")=TEXT(计算!R165, "#.00")</f>
        <v>1</v>
      </c>
      <c r="S167" s="65" t="b">
        <f>TEXT(导出!S165,"#.00")=TEXT(计算!S165, "#.00")</f>
        <v>1</v>
      </c>
      <c r="T167" s="65" t="b">
        <f>TEXT(导出!T165,"#.00")=TEXT(计算!T165, "#.00")</f>
        <v>1</v>
      </c>
      <c r="U167" s="65" t="b">
        <f>TEXT(导出!U165,"#.00")=TEXT(计算!U165, "#.00")</f>
        <v>1</v>
      </c>
      <c r="V167" s="65" t="b">
        <f>TEXT(导出!V165,"#.00")=TEXT(计算!V165*100, "#.00")</f>
        <v>1</v>
      </c>
      <c r="W167" s="65" t="b">
        <f>TEXT(导出!W165,"#.00")=TEXT(计算!W165, "#.00")</f>
        <v>1</v>
      </c>
      <c r="X167" s="65" t="b">
        <f>TEXT(导出!X165,"#.00")=TEXT(计算!X165, "#.00")</f>
        <v>1</v>
      </c>
      <c r="Y167" s="65" t="b">
        <f>TEXT(导出!Y165,"#.00")=TEXT(计算!Y165, "#.00")</f>
        <v>1</v>
      </c>
      <c r="Z167" s="65" t="b">
        <f>TEXT(导出!Z165,"#.00")=TEXT(计算!Z165, "#.00")</f>
        <v>1</v>
      </c>
      <c r="AA167" s="65" t="b">
        <f>TEXT(导出!AA165,"#.00")=TEXT(计算!AA165*100, "#.00")</f>
        <v>1</v>
      </c>
      <c r="AB167" s="65" t="b">
        <f>TEXT(导出!AB165,"#.00")=TEXT(计算!AB165, "#.00")</f>
        <v>1</v>
      </c>
      <c r="AC167" s="65" t="b">
        <f>TEXT(导出!AC165,"#.00")=TEXT(计算!AC165, "#.00")</f>
        <v>1</v>
      </c>
      <c r="AD167" s="65" t="b">
        <f>TEXT(导出!AD165,"#.00")=TEXT(计算!AD165, "#.00")</f>
        <v>1</v>
      </c>
      <c r="AE167" s="65" t="b">
        <f>ABS(导出!AE165-计算!AE165)&lt;10</f>
        <v>1</v>
      </c>
      <c r="AF167" s="65" t="b">
        <f>TEXT(ABS(导出!AF165),"#.00")=TEXT(ABS(计算!AF165), "#.00")</f>
        <v>1</v>
      </c>
      <c r="AG167" s="65" t="b">
        <f>TEXT(导出!AG165,"#.00")=TEXT(计算!AG165, "#.00")</f>
        <v>1</v>
      </c>
      <c r="AH167" s="65" t="b">
        <f>TEXT(导出!AH165,"#.00")=TEXT(计算!AH165, "#.00")</f>
        <v>1</v>
      </c>
      <c r="AI167">
        <v>0</v>
      </c>
      <c r="AJ167" s="3">
        <v>41912.6862847222</v>
      </c>
      <c r="AK167" s="2" t="s">
        <v>1834</v>
      </c>
    </row>
    <row r="168" spans="1:37" x14ac:dyDescent="0.15">
      <c r="A168" s="2" t="s">
        <v>1833</v>
      </c>
      <c r="B168">
        <v>1148</v>
      </c>
      <c r="C168" s="3">
        <v>41747</v>
      </c>
      <c r="D168" s="2" t="s">
        <v>37</v>
      </c>
      <c r="E168" s="2" t="s">
        <v>1832</v>
      </c>
      <c r="F168" s="2" t="s">
        <v>38</v>
      </c>
      <c r="G168" s="2" t="s">
        <v>370</v>
      </c>
      <c r="H168" s="2" t="s">
        <v>371</v>
      </c>
      <c r="I168" s="65" t="b">
        <f>导出!I166=计算!I166</f>
        <v>1</v>
      </c>
      <c r="J168" s="65" t="b">
        <f>导出!J166=计算!J166</f>
        <v>1</v>
      </c>
      <c r="K168" s="65" t="b">
        <f>导出!K166=计算!K166</f>
        <v>1</v>
      </c>
      <c r="L168" s="65" t="b">
        <f>导出!L166=计算!L166</f>
        <v>1</v>
      </c>
      <c r="M168" s="65" t="b">
        <f>导出!M166=计算!M166</f>
        <v>1</v>
      </c>
      <c r="N168" s="65" t="b">
        <f>TEXT(导出!N166,"#.00")=TEXT(计算!N166, "#.00")</f>
        <v>1</v>
      </c>
      <c r="O168" s="65" t="b">
        <f>TEXT(导出!O166,"#.00")=TEXT(计算!O166, "#.00")</f>
        <v>1</v>
      </c>
      <c r="P168" s="65" t="b">
        <f>TEXT(导出!P166,"#.00")=TEXT(计算!P166, "#.00")</f>
        <v>1</v>
      </c>
      <c r="Q168" s="65" t="b">
        <f>TEXT(导出!Q166,"#.00")=TEXT(计算!Q166, "#.00")</f>
        <v>1</v>
      </c>
      <c r="R168" s="65" t="b">
        <f>TEXT(导出!R166,"#.00")=TEXT(计算!R166, "#.00")</f>
        <v>1</v>
      </c>
      <c r="S168" s="65" t="b">
        <f>TEXT(导出!S166,"#.00")=TEXT(计算!S166, "#.00")</f>
        <v>1</v>
      </c>
      <c r="T168" s="65" t="b">
        <f>TEXT(导出!T166,"#.00")=TEXT(计算!T166, "#.00")</f>
        <v>1</v>
      </c>
      <c r="U168" s="65" t="b">
        <f>TEXT(导出!U166,"#.00")=TEXT(计算!U166, "#.00")</f>
        <v>1</v>
      </c>
      <c r="V168" s="65" t="b">
        <f>TEXT(导出!V166,"#.00")=TEXT(计算!V166*100, "#.00")</f>
        <v>1</v>
      </c>
      <c r="W168" s="65" t="b">
        <f>TEXT(导出!W166,"#.00")=TEXT(计算!W166, "#.00")</f>
        <v>1</v>
      </c>
      <c r="X168" s="65" t="b">
        <f>TEXT(导出!X166,"#.00")=TEXT(计算!X166, "#.00")</f>
        <v>1</v>
      </c>
      <c r="Y168" s="65" t="b">
        <f>TEXT(导出!Y166,"#.00")=TEXT(计算!Y166, "#.00")</f>
        <v>1</v>
      </c>
      <c r="Z168" s="65" t="b">
        <f>TEXT(导出!Z166,"#.00")=TEXT(计算!Z166, "#.00")</f>
        <v>1</v>
      </c>
      <c r="AA168" s="65" t="b">
        <f>TEXT(导出!AA166,"#.00")=TEXT(计算!AA166*100, "#.00")</f>
        <v>1</v>
      </c>
      <c r="AB168" s="65" t="b">
        <f>TEXT(导出!AB166,"#.00")=TEXT(计算!AB166, "#.00")</f>
        <v>1</v>
      </c>
      <c r="AC168" s="65" t="b">
        <f>TEXT(导出!AC166,"#.00")=TEXT(计算!AC166, "#.00")</f>
        <v>1</v>
      </c>
      <c r="AD168" s="65" t="b">
        <f>TEXT(导出!AD166,"#.00")=TEXT(计算!AD166, "#.00")</f>
        <v>1</v>
      </c>
      <c r="AE168" s="65" t="b">
        <f>ABS(导出!AE166-计算!AE166)&lt;10</f>
        <v>1</v>
      </c>
      <c r="AF168" s="65" t="b">
        <f>TEXT(ABS(导出!AF166),"#.00")=TEXT(ABS(计算!AF166), "#.00")</f>
        <v>1</v>
      </c>
      <c r="AG168" s="65" t="b">
        <f>TEXT(导出!AG166,"#.00")=TEXT(计算!AG166, "#.00")</f>
        <v>1</v>
      </c>
      <c r="AH168" s="65" t="b">
        <f>TEXT(导出!AH166,"#.00")=TEXT(计算!AH166, "#.00")</f>
        <v>1</v>
      </c>
      <c r="AI168">
        <v>0</v>
      </c>
      <c r="AJ168" s="3">
        <v>41912.6862847222</v>
      </c>
      <c r="AK168" s="2" t="s">
        <v>1831</v>
      </c>
    </row>
    <row r="169" spans="1:37" x14ac:dyDescent="0.15">
      <c r="A169" s="2" t="s">
        <v>1830</v>
      </c>
      <c r="B169">
        <v>1159</v>
      </c>
      <c r="C169" s="3">
        <v>41760</v>
      </c>
      <c r="D169" s="2" t="s">
        <v>37</v>
      </c>
      <c r="E169" s="2" t="s">
        <v>1829</v>
      </c>
      <c r="F169" s="2" t="s">
        <v>38</v>
      </c>
      <c r="G169" s="2" t="s">
        <v>376</v>
      </c>
      <c r="H169" s="2" t="s">
        <v>260</v>
      </c>
      <c r="I169" s="65" t="b">
        <f>导出!I167=计算!I167</f>
        <v>1</v>
      </c>
      <c r="J169" s="65" t="b">
        <f>导出!J167=计算!J167</f>
        <v>1</v>
      </c>
      <c r="K169" s="65" t="b">
        <f>导出!K167=计算!K167</f>
        <v>1</v>
      </c>
      <c r="L169" s="65" t="b">
        <f>导出!L167=计算!L167</f>
        <v>1</v>
      </c>
      <c r="M169" s="65" t="b">
        <f>导出!M167=计算!M167</f>
        <v>1</v>
      </c>
      <c r="N169" s="65" t="b">
        <f>TEXT(导出!N167,"#.00")=TEXT(计算!N167, "#.00")</f>
        <v>1</v>
      </c>
      <c r="O169" s="65" t="b">
        <f>TEXT(导出!O167,"#.00")=TEXT(计算!O167, "#.00")</f>
        <v>1</v>
      </c>
      <c r="P169" s="65" t="b">
        <f>TEXT(导出!P167,"#.00")=TEXT(计算!P167, "#.00")</f>
        <v>1</v>
      </c>
      <c r="Q169" s="65" t="b">
        <f>TEXT(导出!Q167,"#.00")=TEXT(计算!Q167, "#.00")</f>
        <v>1</v>
      </c>
      <c r="R169" s="65" t="b">
        <f>TEXT(导出!R167,"#.00")=TEXT(计算!R167, "#.00")</f>
        <v>1</v>
      </c>
      <c r="S169" s="65" t="b">
        <f>TEXT(导出!S167,"#.00")=TEXT(计算!S167, "#.00")</f>
        <v>1</v>
      </c>
      <c r="T169" s="65" t="b">
        <f>TEXT(导出!T167,"#.00")=TEXT(计算!T167, "#.00")</f>
        <v>1</v>
      </c>
      <c r="U169" s="65" t="b">
        <f>TEXT(导出!U167,"#.00")=TEXT(计算!U167, "#.00")</f>
        <v>1</v>
      </c>
      <c r="V169" s="65" t="b">
        <f>TEXT(导出!V167,"#.00")=TEXT(计算!V167*100, "#.00")</f>
        <v>1</v>
      </c>
      <c r="W169" s="65" t="b">
        <f>TEXT(导出!W167,"#.00")=TEXT(计算!W167, "#.00")</f>
        <v>1</v>
      </c>
      <c r="X169" s="65" t="b">
        <f>TEXT(导出!X167,"#.00")=TEXT(计算!X167, "#.00")</f>
        <v>1</v>
      </c>
      <c r="Y169" s="65" t="b">
        <f>TEXT(导出!Y167,"#.00")=TEXT(计算!Y167, "#.00")</f>
        <v>1</v>
      </c>
      <c r="Z169" s="65" t="b">
        <f>TEXT(导出!Z167,"#.00")=TEXT(计算!Z167, "#.00")</f>
        <v>1</v>
      </c>
      <c r="AA169" s="65" t="b">
        <f>TEXT(导出!AA167,"#.00")=TEXT(计算!AA167*100, "#.00")</f>
        <v>1</v>
      </c>
      <c r="AB169" s="65" t="b">
        <f>TEXT(导出!AB167,"#.00")=TEXT(计算!AB167, "#.00")</f>
        <v>1</v>
      </c>
      <c r="AC169" s="65" t="b">
        <f>TEXT(导出!AC167,"#.00")=TEXT(计算!AC167, "#.00")</f>
        <v>1</v>
      </c>
      <c r="AD169" s="65" t="b">
        <f>TEXT(导出!AD167,"#.00")=TEXT(计算!AD167, "#.00")</f>
        <v>1</v>
      </c>
      <c r="AE169" s="65" t="b">
        <f>ABS(导出!AE167-计算!AE167)&lt;10</f>
        <v>1</v>
      </c>
      <c r="AF169" s="65" t="b">
        <f>TEXT(ABS(导出!AF167),"#.00")=TEXT(ABS(计算!AF167), "#.00")</f>
        <v>1</v>
      </c>
      <c r="AG169" s="65" t="b">
        <f>TEXT(导出!AG167,"#.00")=TEXT(计算!AG167, "#.00")</f>
        <v>1</v>
      </c>
      <c r="AH169" s="65" t="b">
        <f>TEXT(导出!AH167,"#.00")=TEXT(计算!AH167, "#.00")</f>
        <v>1</v>
      </c>
      <c r="AI169">
        <v>0</v>
      </c>
      <c r="AJ169" s="3">
        <v>41912.6862847222</v>
      </c>
      <c r="AK169" s="2" t="s">
        <v>1828</v>
      </c>
    </row>
    <row r="170" spans="1:37" x14ac:dyDescent="0.15">
      <c r="A170" s="2" t="s">
        <v>1827</v>
      </c>
      <c r="B170">
        <v>1170</v>
      </c>
      <c r="C170" s="3">
        <v>41760</v>
      </c>
      <c r="D170" s="2" t="s">
        <v>37</v>
      </c>
      <c r="E170" s="2" t="s">
        <v>1826</v>
      </c>
      <c r="F170" s="2" t="s">
        <v>38</v>
      </c>
      <c r="G170" s="2" t="s">
        <v>1610</v>
      </c>
      <c r="H170" s="2" t="s">
        <v>1680</v>
      </c>
      <c r="I170" s="65" t="b">
        <f>导出!I168=计算!I168</f>
        <v>1</v>
      </c>
      <c r="J170" s="65" t="b">
        <f>导出!J168=计算!J168</f>
        <v>1</v>
      </c>
      <c r="K170" s="65" t="b">
        <f>导出!K168=计算!K168</f>
        <v>1</v>
      </c>
      <c r="L170" s="65" t="b">
        <f>导出!L168=计算!L168</f>
        <v>1</v>
      </c>
      <c r="M170" s="65" t="b">
        <f>导出!M168=计算!M168</f>
        <v>1</v>
      </c>
      <c r="N170" s="65" t="b">
        <f>TEXT(导出!N168,"#.00")=TEXT(计算!N168, "#.00")</f>
        <v>1</v>
      </c>
      <c r="O170" s="65" t="b">
        <f>TEXT(导出!O168,"#.00")=TEXT(计算!O168, "#.00")</f>
        <v>1</v>
      </c>
      <c r="P170" s="65" t="b">
        <f>TEXT(导出!P168,"#.00")=TEXT(计算!P168, "#.00")</f>
        <v>1</v>
      </c>
      <c r="Q170" s="65" t="b">
        <f>TEXT(导出!Q168,"#.00")=TEXT(计算!Q168, "#.00")</f>
        <v>1</v>
      </c>
      <c r="R170" s="65" t="b">
        <f>TEXT(导出!R168,"#.00")=TEXT(计算!R168, "#.00")</f>
        <v>1</v>
      </c>
      <c r="S170" s="65" t="b">
        <f>TEXT(导出!S168,"#.00")=TEXT(计算!S168, "#.00")</f>
        <v>1</v>
      </c>
      <c r="T170" s="65" t="b">
        <f>TEXT(导出!T168,"#.00")=TEXT(计算!T168, "#.00")</f>
        <v>1</v>
      </c>
      <c r="U170" s="65" t="b">
        <f>TEXT(导出!U168,"#.00")=TEXT(计算!U168, "#.00")</f>
        <v>1</v>
      </c>
      <c r="V170" s="65" t="b">
        <f>TEXT(导出!V168,"#.00")=TEXT(计算!V168*100, "#.00")</f>
        <v>1</v>
      </c>
      <c r="W170" s="65" t="b">
        <f>TEXT(导出!W168,"#.00")=TEXT(计算!W168, "#.00")</f>
        <v>1</v>
      </c>
      <c r="X170" s="65" t="b">
        <f>TEXT(导出!X168,"#.00")=TEXT(计算!X168, "#.00")</f>
        <v>1</v>
      </c>
      <c r="Y170" s="65" t="b">
        <f>TEXT(导出!Y168,"#.00")=TEXT(计算!Y168, "#.00")</f>
        <v>1</v>
      </c>
      <c r="Z170" s="65" t="b">
        <f>TEXT(导出!Z168,"#.00")=TEXT(计算!Z168, "#.00")</f>
        <v>1</v>
      </c>
      <c r="AA170" s="65" t="b">
        <f>TEXT(导出!AA168,"#.00")=TEXT(计算!AA168*100, "#.00")</f>
        <v>1</v>
      </c>
      <c r="AB170" s="65" t="b">
        <f>TEXT(导出!AB168,"#.00")=TEXT(计算!AB168, "#.00")</f>
        <v>1</v>
      </c>
      <c r="AC170" s="65" t="b">
        <f>TEXT(导出!AC168,"#.00")=TEXT(计算!AC168, "#.00")</f>
        <v>1</v>
      </c>
      <c r="AD170" s="65" t="b">
        <f>TEXT(导出!AD168,"#.00")=TEXT(计算!AD168, "#.00")</f>
        <v>1</v>
      </c>
      <c r="AE170" s="65" t="b">
        <f>ABS(导出!AE168-计算!AE168)&lt;10</f>
        <v>1</v>
      </c>
      <c r="AF170" s="65" t="b">
        <f>TEXT(ABS(导出!AF168),"#.00")=TEXT(ABS(计算!AF168), "#.00")</f>
        <v>1</v>
      </c>
      <c r="AG170" s="65" t="b">
        <f>TEXT(导出!AG168,"#.00")=TEXT(计算!AG168, "#.00")</f>
        <v>1</v>
      </c>
      <c r="AH170" s="65" t="b">
        <f>TEXT(导出!AH168,"#.00")=TEXT(计算!AH168, "#.00")</f>
        <v>1</v>
      </c>
      <c r="AI170">
        <v>0</v>
      </c>
      <c r="AJ170" s="3">
        <v>41912.6862847222</v>
      </c>
      <c r="AK170" s="2" t="s">
        <v>1825</v>
      </c>
    </row>
    <row r="171" spans="1:37" x14ac:dyDescent="0.15">
      <c r="A171" s="2" t="s">
        <v>1824</v>
      </c>
      <c r="B171">
        <v>1173</v>
      </c>
      <c r="C171" s="3">
        <v>41760</v>
      </c>
      <c r="D171" s="2" t="s">
        <v>37</v>
      </c>
      <c r="E171" s="2" t="s">
        <v>1823</v>
      </c>
      <c r="F171" s="2" t="s">
        <v>38</v>
      </c>
      <c r="G171" s="2" t="s">
        <v>377</v>
      </c>
      <c r="H171" s="2" t="s">
        <v>378</v>
      </c>
      <c r="I171" s="65" t="b">
        <f>导出!I169=计算!I169</f>
        <v>1</v>
      </c>
      <c r="J171" s="65" t="b">
        <f>导出!J169=计算!J169</f>
        <v>1</v>
      </c>
      <c r="K171" s="65" t="b">
        <f>导出!K169=计算!K169</f>
        <v>1</v>
      </c>
      <c r="L171" s="65" t="b">
        <f>导出!L169=计算!L169</f>
        <v>1</v>
      </c>
      <c r="M171" s="65" t="b">
        <f>导出!M169=计算!M169</f>
        <v>1</v>
      </c>
      <c r="N171" s="65" t="b">
        <f>TEXT(导出!N169,"#.00")=TEXT(计算!N169, "#.00")</f>
        <v>1</v>
      </c>
      <c r="O171" s="65" t="b">
        <f>TEXT(导出!O169,"#.00")=TEXT(计算!O169, "#.00")</f>
        <v>1</v>
      </c>
      <c r="P171" s="65" t="b">
        <f>TEXT(导出!P169,"#.00")=TEXT(计算!P169, "#.00")</f>
        <v>1</v>
      </c>
      <c r="Q171" s="65" t="b">
        <f>TEXT(导出!Q169,"#.00")=TEXT(计算!Q169, "#.00")</f>
        <v>1</v>
      </c>
      <c r="R171" s="65" t="b">
        <f>TEXT(导出!R169,"#.00")=TEXT(计算!R169, "#.00")</f>
        <v>1</v>
      </c>
      <c r="S171" s="65" t="b">
        <f>TEXT(导出!S169,"#.00")=TEXT(计算!S169, "#.00")</f>
        <v>1</v>
      </c>
      <c r="T171" s="65" t="b">
        <f>TEXT(导出!T169,"#.00")=TEXT(计算!T169, "#.00")</f>
        <v>1</v>
      </c>
      <c r="U171" s="65" t="b">
        <f>TEXT(导出!U169,"#.00")=TEXT(计算!U169, "#.00")</f>
        <v>1</v>
      </c>
      <c r="V171" s="65" t="b">
        <f>TEXT(导出!V169,"#.00")=TEXT(计算!V169*100, "#.00")</f>
        <v>1</v>
      </c>
      <c r="W171" s="65" t="b">
        <f>TEXT(导出!W169,"#.00")=TEXT(计算!W169, "#.00")</f>
        <v>1</v>
      </c>
      <c r="X171" s="65" t="b">
        <f>TEXT(导出!X169,"#.00")=TEXT(计算!X169, "#.00")</f>
        <v>1</v>
      </c>
      <c r="Y171" s="65" t="b">
        <f>TEXT(导出!Y169,"#.00")=TEXT(计算!Y169, "#.00")</f>
        <v>1</v>
      </c>
      <c r="Z171" s="65" t="b">
        <f>TEXT(导出!Z169,"#.00")=TEXT(计算!Z169, "#.00")</f>
        <v>1</v>
      </c>
      <c r="AA171" s="65" t="b">
        <f>TEXT(导出!AA169,"#.00")=TEXT(计算!AA169*100, "#.00")</f>
        <v>1</v>
      </c>
      <c r="AB171" s="65" t="b">
        <f>TEXT(导出!AB169,"#.00")=TEXT(计算!AB169, "#.00")</f>
        <v>1</v>
      </c>
      <c r="AC171" s="65" t="b">
        <f>TEXT(导出!AC169,"#.00")=TEXT(计算!AC169, "#.00")</f>
        <v>1</v>
      </c>
      <c r="AD171" s="65" t="b">
        <f>TEXT(导出!AD169,"#.00")=TEXT(计算!AD169, "#.00")</f>
        <v>1</v>
      </c>
      <c r="AE171" s="65" t="b">
        <f>ABS(导出!AE169-计算!AE169)&lt;10</f>
        <v>1</v>
      </c>
      <c r="AF171" s="65" t="b">
        <f>TEXT(ABS(导出!AF169),"#.00")=TEXT(ABS(计算!AF169), "#.00")</f>
        <v>1</v>
      </c>
      <c r="AG171" s="65" t="b">
        <f>TEXT(导出!AG169,"#.00")=TEXT(计算!AG169, "#.00")</f>
        <v>1</v>
      </c>
      <c r="AH171" s="65" t="b">
        <f>TEXT(导出!AH169,"#.00")=TEXT(计算!AH169, "#.00")</f>
        <v>1</v>
      </c>
      <c r="AI171">
        <v>0</v>
      </c>
      <c r="AJ171" s="3">
        <v>41912.6862847222</v>
      </c>
      <c r="AK171" s="2" t="s">
        <v>1822</v>
      </c>
    </row>
    <row r="172" spans="1:37" x14ac:dyDescent="0.15">
      <c r="A172" s="2" t="s">
        <v>1821</v>
      </c>
      <c r="B172">
        <v>1169</v>
      </c>
      <c r="C172" s="3">
        <v>41760</v>
      </c>
      <c r="D172" s="2" t="s">
        <v>37</v>
      </c>
      <c r="E172" s="2" t="s">
        <v>1820</v>
      </c>
      <c r="F172" s="2" t="s">
        <v>38</v>
      </c>
      <c r="G172" s="2" t="s">
        <v>374</v>
      </c>
      <c r="H172" s="2" t="s">
        <v>375</v>
      </c>
      <c r="I172" s="65" t="b">
        <f>导出!I170=计算!I170</f>
        <v>1</v>
      </c>
      <c r="J172" s="65" t="b">
        <f>导出!J170=计算!J170</f>
        <v>1</v>
      </c>
      <c r="K172" s="65" t="b">
        <f>导出!K170=计算!K170</f>
        <v>1</v>
      </c>
      <c r="L172" s="65" t="b">
        <f>导出!L170=计算!L170</f>
        <v>1</v>
      </c>
      <c r="M172" s="65" t="b">
        <f>导出!M170=计算!M170</f>
        <v>1</v>
      </c>
      <c r="N172" s="65" t="b">
        <f>TEXT(导出!N170,"#.00")=TEXT(计算!N170, "#.00")</f>
        <v>1</v>
      </c>
      <c r="O172" s="65" t="b">
        <f>TEXT(导出!O170,"#.00")=TEXT(计算!O170, "#.00")</f>
        <v>1</v>
      </c>
      <c r="P172" s="65" t="b">
        <f>TEXT(导出!P170,"#.00")=TEXT(计算!P170, "#.00")</f>
        <v>1</v>
      </c>
      <c r="Q172" s="65" t="b">
        <f>TEXT(导出!Q170,"#.00")=TEXT(计算!Q170, "#.00")</f>
        <v>1</v>
      </c>
      <c r="R172" s="65" t="b">
        <f>TEXT(导出!R170,"#.00")=TEXT(计算!R170, "#.00")</f>
        <v>1</v>
      </c>
      <c r="S172" s="65" t="b">
        <f>TEXT(导出!S170,"#.00")=TEXT(计算!S170, "#.00")</f>
        <v>1</v>
      </c>
      <c r="T172" s="65" t="b">
        <f>TEXT(导出!T170,"#.00")=TEXT(计算!T170, "#.00")</f>
        <v>1</v>
      </c>
      <c r="U172" s="65" t="b">
        <f>TEXT(导出!U170,"#.00")=TEXT(计算!U170, "#.00")</f>
        <v>1</v>
      </c>
      <c r="V172" s="65" t="b">
        <f>TEXT(导出!V170,"#.00")=TEXT(计算!V170*100, "#.00")</f>
        <v>1</v>
      </c>
      <c r="W172" s="65" t="b">
        <f>TEXT(导出!W170,"#.00")=TEXT(计算!W170, "#.00")</f>
        <v>1</v>
      </c>
      <c r="X172" s="65" t="b">
        <f>TEXT(导出!X170,"#.00")=TEXT(计算!X170, "#.00")</f>
        <v>1</v>
      </c>
      <c r="Y172" s="65" t="b">
        <f>TEXT(导出!Y170,"#.00")=TEXT(计算!Y170, "#.00")</f>
        <v>1</v>
      </c>
      <c r="Z172" s="65" t="b">
        <f>TEXT(导出!Z170,"#.00")=TEXT(计算!Z170, "#.00")</f>
        <v>1</v>
      </c>
      <c r="AA172" s="65" t="b">
        <f>TEXT(导出!AA170,"#.00")=TEXT(计算!AA170*100, "#.00")</f>
        <v>1</v>
      </c>
      <c r="AB172" s="65" t="b">
        <f>TEXT(导出!AB170,"#.00")=TEXT(计算!AB170, "#.00")</f>
        <v>1</v>
      </c>
      <c r="AC172" s="65" t="b">
        <f>TEXT(导出!AC170,"#.00")=TEXT(计算!AC170, "#.00")</f>
        <v>1</v>
      </c>
      <c r="AD172" s="65" t="b">
        <f>TEXT(导出!AD170,"#.00")=TEXT(计算!AD170, "#.00")</f>
        <v>1</v>
      </c>
      <c r="AE172" s="65" t="b">
        <f>ABS(导出!AE170-计算!AE170)&lt;10</f>
        <v>1</v>
      </c>
      <c r="AF172" s="65" t="b">
        <f>TEXT(ABS(导出!AF170),"#.00")=TEXT(ABS(计算!AF170), "#.00")</f>
        <v>1</v>
      </c>
      <c r="AG172" s="65" t="b">
        <f>TEXT(导出!AG170,"#.00")=TEXT(计算!AG170, "#.00")</f>
        <v>1</v>
      </c>
      <c r="AH172" s="65" t="b">
        <f>TEXT(导出!AH170,"#.00")=TEXT(计算!AH170, "#.00")</f>
        <v>1</v>
      </c>
      <c r="AI172">
        <v>0</v>
      </c>
      <c r="AJ172" s="3">
        <v>41912.6862847222</v>
      </c>
      <c r="AK172" s="2" t="s">
        <v>1819</v>
      </c>
    </row>
    <row r="173" spans="1:37" x14ac:dyDescent="0.15">
      <c r="A173" s="2" t="s">
        <v>1818</v>
      </c>
      <c r="B173">
        <v>235</v>
      </c>
      <c r="C173" s="3">
        <v>41760</v>
      </c>
      <c r="D173" s="2" t="s">
        <v>37</v>
      </c>
      <c r="E173" s="2" t="s">
        <v>1817</v>
      </c>
      <c r="F173" s="2" t="s">
        <v>41</v>
      </c>
      <c r="G173" s="2" t="s">
        <v>372</v>
      </c>
      <c r="H173" s="2" t="s">
        <v>373</v>
      </c>
      <c r="I173" s="65" t="b">
        <f>导出!I171=计算!I171</f>
        <v>1</v>
      </c>
      <c r="J173" s="65" t="b">
        <f>导出!J171=计算!J171</f>
        <v>1</v>
      </c>
      <c r="K173" s="65" t="b">
        <f>导出!K171=计算!K171</f>
        <v>1</v>
      </c>
      <c r="L173" s="65" t="b">
        <f>导出!L171=计算!L171</f>
        <v>1</v>
      </c>
      <c r="M173" s="65" t="b">
        <f>导出!M171=计算!M171</f>
        <v>1</v>
      </c>
      <c r="N173" s="65" t="b">
        <f>TEXT(导出!N171,"#.00")=TEXT(计算!N171, "#.00")</f>
        <v>1</v>
      </c>
      <c r="O173" s="65" t="b">
        <f>TEXT(导出!O171,"#.00")=TEXT(计算!O171, "#.00")</f>
        <v>1</v>
      </c>
      <c r="P173" s="65" t="b">
        <f>TEXT(导出!P171,"#.00")=TEXT(计算!P171, "#.00")</f>
        <v>1</v>
      </c>
      <c r="Q173" s="65" t="b">
        <f>TEXT(导出!Q171,"#.00")=TEXT(计算!Q171, "#.00")</f>
        <v>1</v>
      </c>
      <c r="R173" s="65" t="b">
        <f>TEXT(导出!R171,"#.00")=TEXT(计算!R171, "#.00")</f>
        <v>1</v>
      </c>
      <c r="S173" s="65" t="b">
        <f>TEXT(导出!S171,"#.00")=TEXT(计算!S171, "#.00")</f>
        <v>1</v>
      </c>
      <c r="T173" s="65" t="b">
        <f>TEXT(导出!T171,"#.00")=TEXT(计算!T171, "#.00")</f>
        <v>1</v>
      </c>
      <c r="U173" s="65" t="b">
        <f>TEXT(导出!U171,"#.00")=TEXT(计算!U171, "#.00")</f>
        <v>1</v>
      </c>
      <c r="V173" s="65" t="b">
        <f>TEXT(导出!V171,"#.00")=TEXT(计算!V171*100, "#.00")</f>
        <v>1</v>
      </c>
      <c r="W173" s="65" t="b">
        <f>TEXT(导出!W171,"#.00")=TEXT(计算!W171, "#.00")</f>
        <v>1</v>
      </c>
      <c r="X173" s="65" t="b">
        <f>TEXT(导出!X171,"#.00")=TEXT(计算!X171, "#.00")</f>
        <v>1</v>
      </c>
      <c r="Y173" s="65" t="b">
        <f>TEXT(导出!Y171,"#.00")=TEXT(计算!Y171, "#.00")</f>
        <v>1</v>
      </c>
      <c r="Z173" s="65" t="b">
        <f>TEXT(导出!Z171,"#.00")=TEXT(计算!Z171, "#.00")</f>
        <v>1</v>
      </c>
      <c r="AA173" s="65" t="b">
        <f>TEXT(导出!AA171,"#.00")=TEXT(计算!AA171*100, "#.00")</f>
        <v>1</v>
      </c>
      <c r="AB173" s="65" t="b">
        <f>TEXT(导出!AB171,"#.00")=TEXT(计算!AB171, "#.00")</f>
        <v>1</v>
      </c>
      <c r="AC173" s="65" t="b">
        <f>TEXT(导出!AC171,"#.00")=TEXT(计算!AC171, "#.00")</f>
        <v>1</v>
      </c>
      <c r="AD173" s="65" t="b">
        <f>TEXT(导出!AD171,"#.00")=TEXT(计算!AD171, "#.00")</f>
        <v>1</v>
      </c>
      <c r="AE173" s="65" t="b">
        <f>ABS(导出!AE171-计算!AE171)&lt;10</f>
        <v>1</v>
      </c>
      <c r="AF173" s="65" t="b">
        <f>TEXT(ABS(导出!AF171),"#.00")=TEXT(ABS(计算!AF171), "#.00")</f>
        <v>1</v>
      </c>
      <c r="AG173" s="65" t="b">
        <f>TEXT(导出!AG171,"#.00")=TEXT(计算!AG171, "#.00")</f>
        <v>1</v>
      </c>
      <c r="AH173" s="65" t="b">
        <f>TEXT(导出!AH171,"#.00")=TEXT(计算!AH171, "#.00")</f>
        <v>1</v>
      </c>
      <c r="AI173">
        <v>0</v>
      </c>
      <c r="AJ173" s="3">
        <v>41912.6862384259</v>
      </c>
      <c r="AK173" s="2" t="s">
        <v>1816</v>
      </c>
    </row>
    <row r="174" spans="1:37" x14ac:dyDescent="0.15">
      <c r="A174" s="2" t="s">
        <v>1815</v>
      </c>
      <c r="B174">
        <v>1167</v>
      </c>
      <c r="C174" s="3">
        <v>41767</v>
      </c>
      <c r="D174" s="2" t="s">
        <v>37</v>
      </c>
      <c r="E174" s="2" t="s">
        <v>1814</v>
      </c>
      <c r="F174" s="2" t="s">
        <v>38</v>
      </c>
      <c r="G174" s="2" t="s">
        <v>379</v>
      </c>
      <c r="H174" s="2" t="s">
        <v>380</v>
      </c>
      <c r="I174" s="65" t="b">
        <f>导出!I172=计算!I172</f>
        <v>1</v>
      </c>
      <c r="J174" s="65" t="b">
        <f>导出!J172=计算!J172</f>
        <v>1</v>
      </c>
      <c r="K174" s="65" t="b">
        <f>导出!K172=计算!K172</f>
        <v>1</v>
      </c>
      <c r="L174" s="65" t="b">
        <f>导出!L172=计算!L172</f>
        <v>1</v>
      </c>
      <c r="M174" s="65" t="b">
        <f>导出!M172=计算!M172</f>
        <v>1</v>
      </c>
      <c r="N174" s="65" t="b">
        <f>TEXT(导出!N172,"#.00")=TEXT(计算!N172, "#.00")</f>
        <v>1</v>
      </c>
      <c r="O174" s="65" t="b">
        <f>TEXT(导出!O172,"#.00")=TEXT(计算!O172, "#.00")</f>
        <v>1</v>
      </c>
      <c r="P174" s="65" t="b">
        <f>TEXT(导出!P172,"#.00")=TEXT(计算!P172, "#.00")</f>
        <v>1</v>
      </c>
      <c r="Q174" s="65" t="b">
        <f>TEXT(导出!Q172,"#.00")=TEXT(计算!Q172, "#.00")</f>
        <v>1</v>
      </c>
      <c r="R174" s="65" t="b">
        <f>TEXT(导出!R172,"#.00")=TEXT(计算!R172, "#.00")</f>
        <v>1</v>
      </c>
      <c r="S174" s="65" t="b">
        <f>TEXT(导出!S172,"#.00")=TEXT(计算!S172, "#.00")</f>
        <v>1</v>
      </c>
      <c r="T174" s="65" t="b">
        <f>TEXT(导出!T172,"#.00")=TEXT(计算!T172, "#.00")</f>
        <v>1</v>
      </c>
      <c r="U174" s="65" t="b">
        <f>TEXT(导出!U172,"#.00")=TEXT(计算!U172, "#.00")</f>
        <v>1</v>
      </c>
      <c r="V174" s="65" t="b">
        <f>TEXT(导出!V172,"#.00")=TEXT(计算!V172*100, "#.00")</f>
        <v>1</v>
      </c>
      <c r="W174" s="65" t="b">
        <f>TEXT(导出!W172,"#.00")=TEXT(计算!W172, "#.00")</f>
        <v>1</v>
      </c>
      <c r="X174" s="65" t="b">
        <f>TEXT(导出!X172,"#.00")=TEXT(计算!X172, "#.00")</f>
        <v>1</v>
      </c>
      <c r="Y174" s="65" t="b">
        <f>TEXT(导出!Y172,"#.00")=TEXT(计算!Y172, "#.00")</f>
        <v>1</v>
      </c>
      <c r="Z174" s="65" t="b">
        <f>TEXT(导出!Z172,"#.00")=TEXT(计算!Z172, "#.00")</f>
        <v>1</v>
      </c>
      <c r="AA174" s="65" t="b">
        <f>TEXT(导出!AA172,"#.00")=TEXT(计算!AA172*100, "#.00")</f>
        <v>1</v>
      </c>
      <c r="AB174" s="65" t="b">
        <f>TEXT(导出!AB172,"#.00")=TEXT(计算!AB172, "#.00")</f>
        <v>1</v>
      </c>
      <c r="AC174" s="65" t="b">
        <f>TEXT(导出!AC172,"#.00")=TEXT(计算!AC172, "#.00")</f>
        <v>1</v>
      </c>
      <c r="AD174" s="65" t="b">
        <f>TEXT(导出!AD172,"#.00")=TEXT(计算!AD172, "#.00")</f>
        <v>1</v>
      </c>
      <c r="AE174" s="65" t="b">
        <f>ABS(导出!AE172-计算!AE172)&lt;10</f>
        <v>1</v>
      </c>
      <c r="AF174" s="65" t="b">
        <f>TEXT(ABS(导出!AF172),"#.00")=TEXT(ABS(计算!AF172), "#.00")</f>
        <v>1</v>
      </c>
      <c r="AG174" s="65" t="b">
        <f>TEXT(导出!AG172,"#.00")=TEXT(计算!AG172, "#.00")</f>
        <v>1</v>
      </c>
      <c r="AH174" s="65" t="b">
        <f>TEXT(导出!AH172,"#.00")=TEXT(计算!AH172, "#.00")</f>
        <v>1</v>
      </c>
      <c r="AI174">
        <v>0</v>
      </c>
      <c r="AJ174" s="3">
        <v>41912.6862847222</v>
      </c>
      <c r="AK174" s="2" t="s">
        <v>1813</v>
      </c>
    </row>
    <row r="175" spans="1:37" x14ac:dyDescent="0.15">
      <c r="A175" s="2" t="s">
        <v>1812</v>
      </c>
      <c r="B175">
        <v>1180</v>
      </c>
      <c r="C175" s="3">
        <v>41779</v>
      </c>
      <c r="D175" s="2" t="s">
        <v>37</v>
      </c>
      <c r="E175" s="2" t="s">
        <v>1811</v>
      </c>
      <c r="F175" s="2" t="s">
        <v>38</v>
      </c>
      <c r="G175" s="2" t="s">
        <v>381</v>
      </c>
      <c r="H175" s="2" t="s">
        <v>382</v>
      </c>
      <c r="I175" s="65" t="b">
        <f>导出!I173=计算!I173</f>
        <v>1</v>
      </c>
      <c r="J175" s="65" t="b">
        <f>导出!J173=计算!J173</f>
        <v>1</v>
      </c>
      <c r="K175" s="65" t="b">
        <f>导出!K173=计算!K173</f>
        <v>1</v>
      </c>
      <c r="L175" s="65" t="b">
        <f>导出!L173=计算!L173</f>
        <v>1</v>
      </c>
      <c r="M175" s="65" t="b">
        <f>导出!M173=计算!M173</f>
        <v>1</v>
      </c>
      <c r="N175" s="65" t="b">
        <f>TEXT(导出!N173,"#.00")=TEXT(计算!N173, "#.00")</f>
        <v>1</v>
      </c>
      <c r="O175" s="65" t="b">
        <f>TEXT(导出!O173,"#.00")=TEXT(计算!O173, "#.00")</f>
        <v>1</v>
      </c>
      <c r="P175" s="65" t="b">
        <f>TEXT(导出!P173,"#.00")=TEXT(计算!P173, "#.00")</f>
        <v>1</v>
      </c>
      <c r="Q175" s="65" t="b">
        <f>TEXT(导出!Q173,"#.00")=TEXT(计算!Q173, "#.00")</f>
        <v>1</v>
      </c>
      <c r="R175" s="65" t="b">
        <f>TEXT(导出!R173,"#.00")=TEXT(计算!R173, "#.00")</f>
        <v>1</v>
      </c>
      <c r="S175" s="65" t="b">
        <f>TEXT(导出!S173,"#.00")=TEXT(计算!S173, "#.00")</f>
        <v>1</v>
      </c>
      <c r="T175" s="65" t="b">
        <f>TEXT(导出!T173,"#.00")=TEXT(计算!T173, "#.00")</f>
        <v>1</v>
      </c>
      <c r="U175" s="65" t="b">
        <f>TEXT(导出!U173,"#.00")=TEXT(计算!U173, "#.00")</f>
        <v>1</v>
      </c>
      <c r="V175" s="65" t="b">
        <f>TEXT(导出!V173,"#.00")=TEXT(计算!V173*100, "#.00")</f>
        <v>1</v>
      </c>
      <c r="W175" s="65" t="b">
        <f>TEXT(导出!W173,"#.00")=TEXT(计算!W173, "#.00")</f>
        <v>1</v>
      </c>
      <c r="X175" s="65" t="b">
        <f>TEXT(导出!X173,"#.00")=TEXT(计算!X173, "#.00")</f>
        <v>1</v>
      </c>
      <c r="Y175" s="65" t="b">
        <f>TEXT(导出!Y173,"#.00")=TEXT(计算!Y173, "#.00")</f>
        <v>1</v>
      </c>
      <c r="Z175" s="65" t="b">
        <f>TEXT(导出!Z173,"#.00")=TEXT(计算!Z173, "#.00")</f>
        <v>1</v>
      </c>
      <c r="AA175" s="65" t="b">
        <f>TEXT(导出!AA173,"#.00")=TEXT(计算!AA173*100, "#.00")</f>
        <v>1</v>
      </c>
      <c r="AB175" s="65" t="b">
        <f>TEXT(导出!AB173,"#.00")=TEXT(计算!AB173, "#.00")</f>
        <v>1</v>
      </c>
      <c r="AC175" s="65" t="b">
        <f>TEXT(导出!AC173,"#.00")=TEXT(计算!AC173, "#.00")</f>
        <v>1</v>
      </c>
      <c r="AD175" s="65" t="b">
        <f>TEXT(导出!AD173,"#.00")=TEXT(计算!AD173, "#.00")</f>
        <v>1</v>
      </c>
      <c r="AE175" s="65" t="b">
        <f>ABS(导出!AE173-计算!AE173)&lt;10</f>
        <v>1</v>
      </c>
      <c r="AF175" s="65" t="b">
        <f>TEXT(ABS(导出!AF173),"#.00")=TEXT(ABS(计算!AF173), "#.00")</f>
        <v>1</v>
      </c>
      <c r="AG175" s="65" t="b">
        <f>TEXT(导出!AG173,"#.00")=TEXT(计算!AG173, "#.00")</f>
        <v>1</v>
      </c>
      <c r="AH175" s="65" t="b">
        <f>TEXT(导出!AH173,"#.00")=TEXT(计算!AH173, "#.00")</f>
        <v>1</v>
      </c>
      <c r="AI175">
        <v>0</v>
      </c>
      <c r="AJ175" s="3">
        <v>41912.6862847222</v>
      </c>
      <c r="AK175" s="2" t="s">
        <v>1810</v>
      </c>
    </row>
    <row r="176" spans="1:37" x14ac:dyDescent="0.15">
      <c r="A176" s="2" t="s">
        <v>1809</v>
      </c>
      <c r="B176">
        <v>1185</v>
      </c>
      <c r="C176" s="3">
        <v>41791</v>
      </c>
      <c r="D176" s="2" t="s">
        <v>37</v>
      </c>
      <c r="E176" s="2" t="s">
        <v>1808</v>
      </c>
      <c r="F176" s="2" t="s">
        <v>38</v>
      </c>
      <c r="G176" s="2" t="s">
        <v>383</v>
      </c>
      <c r="H176" s="2" t="s">
        <v>384</v>
      </c>
      <c r="I176" s="65" t="b">
        <f>导出!I174=计算!I174</f>
        <v>1</v>
      </c>
      <c r="J176" s="65" t="b">
        <f>导出!J174=计算!J174</f>
        <v>1</v>
      </c>
      <c r="K176" s="65" t="b">
        <f>导出!K174=计算!K174</f>
        <v>1</v>
      </c>
      <c r="L176" s="65" t="b">
        <f>导出!L174=计算!L174</f>
        <v>1</v>
      </c>
      <c r="M176" s="65" t="b">
        <f>导出!M174=计算!M174</f>
        <v>1</v>
      </c>
      <c r="N176" s="65" t="b">
        <f>TEXT(导出!N174,"#.00")=TEXT(计算!N174, "#.00")</f>
        <v>1</v>
      </c>
      <c r="O176" s="65" t="b">
        <f>TEXT(导出!O174,"#.00")=TEXT(计算!O174, "#.00")</f>
        <v>1</v>
      </c>
      <c r="P176" s="65" t="b">
        <f>TEXT(导出!P174,"#.00")=TEXT(计算!P174, "#.00")</f>
        <v>1</v>
      </c>
      <c r="Q176" s="65" t="b">
        <f>TEXT(导出!Q174,"#.00")=TEXT(计算!Q174, "#.00")</f>
        <v>1</v>
      </c>
      <c r="R176" s="65" t="b">
        <f>TEXT(导出!R174,"#.00")=TEXT(计算!R174, "#.00")</f>
        <v>1</v>
      </c>
      <c r="S176" s="65" t="b">
        <f>TEXT(导出!S174,"#.00")=TEXT(计算!S174, "#.00")</f>
        <v>1</v>
      </c>
      <c r="T176" s="65" t="b">
        <f>TEXT(导出!T174,"#.00")=TEXT(计算!T174, "#.00")</f>
        <v>1</v>
      </c>
      <c r="U176" s="65" t="b">
        <f>TEXT(导出!U174,"#.00")=TEXT(计算!U174, "#.00")</f>
        <v>1</v>
      </c>
      <c r="V176" s="65" t="b">
        <f>TEXT(导出!V174,"#.00")=TEXT(计算!V174*100, "#.00")</f>
        <v>1</v>
      </c>
      <c r="W176" s="65" t="b">
        <f>TEXT(导出!W174,"#.00")=TEXT(计算!W174, "#.00")</f>
        <v>1</v>
      </c>
      <c r="X176" s="65" t="b">
        <f>TEXT(导出!X174,"#.00")=TEXT(计算!X174, "#.00")</f>
        <v>1</v>
      </c>
      <c r="Y176" s="65" t="b">
        <f>TEXT(导出!Y174,"#.00")=TEXT(计算!Y174, "#.00")</f>
        <v>1</v>
      </c>
      <c r="Z176" s="65" t="b">
        <f>TEXT(导出!Z174,"#.00")=TEXT(计算!Z174, "#.00")</f>
        <v>1</v>
      </c>
      <c r="AA176" s="65" t="b">
        <f>TEXT(导出!AA174,"#.00")=TEXT(计算!AA174*100, "#.00")</f>
        <v>1</v>
      </c>
      <c r="AB176" s="65" t="b">
        <f>TEXT(导出!AB174,"#.00")=TEXT(计算!AB174, "#.00")</f>
        <v>1</v>
      </c>
      <c r="AC176" s="65" t="b">
        <f>TEXT(导出!AC174,"#.00")=TEXT(计算!AC174, "#.00")</f>
        <v>1</v>
      </c>
      <c r="AD176" s="65" t="b">
        <f>TEXT(导出!AD174,"#.00")=TEXT(计算!AD174, "#.00")</f>
        <v>1</v>
      </c>
      <c r="AE176" s="65" t="b">
        <f>ABS(导出!AE174-计算!AE174)&lt;10</f>
        <v>1</v>
      </c>
      <c r="AF176" s="65" t="b">
        <f>TEXT(ABS(导出!AF174),"#.00")=TEXT(ABS(计算!AF174), "#.00")</f>
        <v>1</v>
      </c>
      <c r="AG176" s="65" t="b">
        <f>TEXT(导出!AG174,"#.00")=TEXT(计算!AG174, "#.00")</f>
        <v>1</v>
      </c>
      <c r="AH176" s="65" t="b">
        <f>TEXT(导出!AH174,"#.00")=TEXT(计算!AH174, "#.00")</f>
        <v>1</v>
      </c>
      <c r="AI176">
        <v>0</v>
      </c>
      <c r="AJ176" s="3">
        <v>41912.6862847222</v>
      </c>
      <c r="AK176" s="2" t="s">
        <v>1807</v>
      </c>
    </row>
    <row r="177" spans="1:37" x14ac:dyDescent="0.15">
      <c r="A177" s="2" t="s">
        <v>1806</v>
      </c>
      <c r="B177">
        <v>236</v>
      </c>
      <c r="C177" s="3">
        <v>41791</v>
      </c>
      <c r="D177" s="2" t="s">
        <v>37</v>
      </c>
      <c r="E177" s="2" t="s">
        <v>1805</v>
      </c>
      <c r="F177" s="2" t="s">
        <v>41</v>
      </c>
      <c r="G177" s="2" t="s">
        <v>385</v>
      </c>
      <c r="H177" s="2" t="s">
        <v>386</v>
      </c>
      <c r="I177" s="65" t="b">
        <f>导出!I175=计算!I175</f>
        <v>1</v>
      </c>
      <c r="J177" s="65" t="b">
        <f>导出!J175=计算!J175</f>
        <v>1</v>
      </c>
      <c r="K177" s="65" t="b">
        <f>导出!K175=计算!K175</f>
        <v>1</v>
      </c>
      <c r="L177" s="65" t="b">
        <f>导出!L175=计算!L175</f>
        <v>1</v>
      </c>
      <c r="M177" s="65" t="b">
        <f>导出!M175=计算!M175</f>
        <v>1</v>
      </c>
      <c r="N177" s="65" t="b">
        <f>TEXT(导出!N175,"#.00")=TEXT(计算!N175, "#.00")</f>
        <v>1</v>
      </c>
      <c r="O177" s="65" t="b">
        <f>TEXT(导出!O175,"#.00")=TEXT(计算!O175, "#.00")</f>
        <v>1</v>
      </c>
      <c r="P177" s="65" t="b">
        <f>TEXT(导出!P175,"#.00")=TEXT(计算!P175, "#.00")</f>
        <v>1</v>
      </c>
      <c r="Q177" s="65" t="b">
        <f>TEXT(导出!Q175,"#.00")=TEXT(计算!Q175, "#.00")</f>
        <v>1</v>
      </c>
      <c r="R177" s="65" t="b">
        <f>TEXT(导出!R175,"#.00")=TEXT(计算!R175, "#.00")</f>
        <v>1</v>
      </c>
      <c r="S177" s="65" t="b">
        <f>TEXT(导出!S175,"#.00")=TEXT(计算!S175, "#.00")</f>
        <v>1</v>
      </c>
      <c r="T177" s="65" t="b">
        <f>TEXT(导出!T175,"#.00")=TEXT(计算!T175, "#.00")</f>
        <v>1</v>
      </c>
      <c r="U177" s="65" t="b">
        <f>TEXT(导出!U175,"#.00")=TEXT(计算!U175, "#.00")</f>
        <v>1</v>
      </c>
      <c r="V177" s="65" t="b">
        <f>TEXT(导出!V175,"#.00")=TEXT(计算!V175*100, "#.00")</f>
        <v>1</v>
      </c>
      <c r="W177" s="65" t="b">
        <f>TEXT(导出!W175,"#.00")=TEXT(计算!W175, "#.00")</f>
        <v>1</v>
      </c>
      <c r="X177" s="65" t="b">
        <f>TEXT(导出!X175,"#.00")=TEXT(计算!X175, "#.00")</f>
        <v>1</v>
      </c>
      <c r="Y177" s="65" t="b">
        <f>TEXT(导出!Y175,"#.00")=TEXT(计算!Y175, "#.00")</f>
        <v>1</v>
      </c>
      <c r="Z177" s="65" t="b">
        <f>TEXT(导出!Z175,"#.00")=TEXT(计算!Z175, "#.00")</f>
        <v>1</v>
      </c>
      <c r="AA177" s="65" t="b">
        <f>TEXT(导出!AA175,"#.00")=TEXT(计算!AA175*100, "#.00")</f>
        <v>1</v>
      </c>
      <c r="AB177" s="65" t="b">
        <f>TEXT(导出!AB175,"#.00")=TEXT(计算!AB175, "#.00")</f>
        <v>1</v>
      </c>
      <c r="AC177" s="65" t="b">
        <f>TEXT(导出!AC175,"#.00")=TEXT(计算!AC175, "#.00")</f>
        <v>1</v>
      </c>
      <c r="AD177" s="65" t="b">
        <f>TEXT(导出!AD175,"#.00")=TEXT(计算!AD175, "#.00")</f>
        <v>1</v>
      </c>
      <c r="AE177" s="65" t="b">
        <f>ABS(导出!AE175-计算!AE175)&lt;10</f>
        <v>1</v>
      </c>
      <c r="AF177" s="65" t="b">
        <f>TEXT(ABS(导出!AF175),"#.00")=TEXT(ABS(计算!AF175), "#.00")</f>
        <v>1</v>
      </c>
      <c r="AG177" s="65" t="b">
        <f>TEXT(导出!AG175,"#.00")=TEXT(计算!AG175, "#.00")</f>
        <v>1</v>
      </c>
      <c r="AH177" s="65" t="b">
        <f>TEXT(导出!AH175,"#.00")=TEXT(计算!AH175, "#.00")</f>
        <v>1</v>
      </c>
      <c r="AI177">
        <v>0</v>
      </c>
      <c r="AJ177" s="3">
        <v>41912.6862384259</v>
      </c>
      <c r="AK177" s="2" t="s">
        <v>1804</v>
      </c>
    </row>
    <row r="178" spans="1:37" x14ac:dyDescent="0.15">
      <c r="A178" s="2" t="s">
        <v>1803</v>
      </c>
      <c r="B178">
        <v>1188</v>
      </c>
      <c r="C178" s="3">
        <v>41791</v>
      </c>
      <c r="D178" s="2" t="s">
        <v>37</v>
      </c>
      <c r="E178" s="2" t="s">
        <v>1802</v>
      </c>
      <c r="F178" s="2" t="s">
        <v>38</v>
      </c>
      <c r="G178" s="2" t="s">
        <v>387</v>
      </c>
      <c r="H178" s="2" t="s">
        <v>388</v>
      </c>
      <c r="I178" s="65" t="b">
        <f>导出!I176=计算!I176</f>
        <v>1</v>
      </c>
      <c r="J178" s="65" t="b">
        <f>导出!J176=计算!J176</f>
        <v>1</v>
      </c>
      <c r="K178" s="65" t="b">
        <f>导出!K176=计算!K176</f>
        <v>1</v>
      </c>
      <c r="L178" s="65" t="b">
        <f>导出!L176=计算!L176</f>
        <v>1</v>
      </c>
      <c r="M178" s="65" t="b">
        <f>导出!M176=计算!M176</f>
        <v>1</v>
      </c>
      <c r="N178" s="65" t="b">
        <f>TEXT(导出!N176,"#.00")=TEXT(计算!N176, "#.00")</f>
        <v>1</v>
      </c>
      <c r="O178" s="65" t="b">
        <f>TEXT(导出!O176,"#.00")=TEXT(计算!O176, "#.00")</f>
        <v>1</v>
      </c>
      <c r="P178" s="65" t="b">
        <f>TEXT(导出!P176,"#.00")=TEXT(计算!P176, "#.00")</f>
        <v>1</v>
      </c>
      <c r="Q178" s="65" t="b">
        <f>TEXT(导出!Q176,"#.00")=TEXT(计算!Q176, "#.00")</f>
        <v>1</v>
      </c>
      <c r="R178" s="65" t="b">
        <f>TEXT(导出!R176,"#.00")=TEXT(计算!R176, "#.00")</f>
        <v>1</v>
      </c>
      <c r="S178" s="65" t="b">
        <f>TEXT(导出!S176,"#.00")=TEXT(计算!S176, "#.00")</f>
        <v>1</v>
      </c>
      <c r="T178" s="65" t="b">
        <f>TEXT(导出!T176,"#.00")=TEXT(计算!T176, "#.00")</f>
        <v>1</v>
      </c>
      <c r="U178" s="65" t="b">
        <f>TEXT(导出!U176,"#.00")=TEXT(计算!U176, "#.00")</f>
        <v>1</v>
      </c>
      <c r="V178" s="65" t="b">
        <f>TEXT(导出!V176,"#.00")=TEXT(计算!V176*100, "#.00")</f>
        <v>1</v>
      </c>
      <c r="W178" s="65" t="b">
        <f>TEXT(导出!W176,"#.00")=TEXT(计算!W176, "#.00")</f>
        <v>1</v>
      </c>
      <c r="X178" s="65" t="b">
        <f>TEXT(导出!X176,"#.00")=TEXT(计算!X176, "#.00")</f>
        <v>1</v>
      </c>
      <c r="Y178" s="65" t="b">
        <f>TEXT(导出!Y176,"#.00")=TEXT(计算!Y176, "#.00")</f>
        <v>1</v>
      </c>
      <c r="Z178" s="65" t="b">
        <f>TEXT(导出!Z176,"#.00")=TEXT(计算!Z176, "#.00")</f>
        <v>1</v>
      </c>
      <c r="AA178" s="65" t="b">
        <f>TEXT(导出!AA176,"#.00")=TEXT(计算!AA176*100, "#.00")</f>
        <v>1</v>
      </c>
      <c r="AB178" s="65" t="b">
        <f>TEXT(导出!AB176,"#.00")=TEXT(计算!AB176, "#.00")</f>
        <v>1</v>
      </c>
      <c r="AC178" s="65" t="b">
        <f>TEXT(导出!AC176,"#.00")=TEXT(计算!AC176, "#.00")</f>
        <v>1</v>
      </c>
      <c r="AD178" s="65" t="b">
        <f>TEXT(导出!AD176,"#.00")=TEXT(计算!AD176, "#.00")</f>
        <v>1</v>
      </c>
      <c r="AE178" s="65" t="b">
        <f>ABS(导出!AE176-计算!AE176)&lt;10</f>
        <v>1</v>
      </c>
      <c r="AF178" s="65" t="b">
        <f>TEXT(ABS(导出!AF176),"#.00")=TEXT(ABS(计算!AF176), "#.00")</f>
        <v>1</v>
      </c>
      <c r="AG178" s="65" t="b">
        <f>TEXT(导出!AG176,"#.00")=TEXT(计算!AG176, "#.00")</f>
        <v>1</v>
      </c>
      <c r="AH178" s="65" t="b">
        <f>TEXT(导出!AH176,"#.00")=TEXT(计算!AH176, "#.00")</f>
        <v>1</v>
      </c>
      <c r="AI178">
        <v>0</v>
      </c>
      <c r="AJ178" s="3">
        <v>41912.6862847222</v>
      </c>
      <c r="AK178" s="2" t="s">
        <v>1801</v>
      </c>
    </row>
    <row r="179" spans="1:37" x14ac:dyDescent="0.15">
      <c r="A179" s="2" t="s">
        <v>1800</v>
      </c>
      <c r="B179">
        <v>1196</v>
      </c>
      <c r="C179" s="3">
        <v>41820</v>
      </c>
      <c r="D179" s="2" t="s">
        <v>37</v>
      </c>
      <c r="E179" s="2" t="s">
        <v>1799</v>
      </c>
      <c r="F179" s="2" t="s">
        <v>38</v>
      </c>
      <c r="G179" s="2" t="s">
        <v>389</v>
      </c>
      <c r="H179" s="2" t="s">
        <v>390</v>
      </c>
      <c r="I179" s="65" t="b">
        <f>导出!I177=计算!I177</f>
        <v>1</v>
      </c>
      <c r="J179" s="65" t="b">
        <f>导出!J177=计算!J177</f>
        <v>1</v>
      </c>
      <c r="K179" s="65" t="b">
        <f>导出!K177=计算!K177</f>
        <v>1</v>
      </c>
      <c r="L179" s="65" t="b">
        <f>导出!L177=计算!L177</f>
        <v>1</v>
      </c>
      <c r="M179" s="65" t="b">
        <f>导出!M177=计算!M177</f>
        <v>1</v>
      </c>
      <c r="N179" s="65" t="b">
        <f>TEXT(导出!N177,"#.00")=TEXT(计算!N177, "#.00")</f>
        <v>1</v>
      </c>
      <c r="O179" s="65" t="b">
        <f>TEXT(导出!O177,"#.00")=TEXT(计算!O177, "#.00")</f>
        <v>1</v>
      </c>
      <c r="P179" s="65" t="b">
        <f>TEXT(导出!P177,"#.00")=TEXT(计算!P177, "#.00")</f>
        <v>1</v>
      </c>
      <c r="Q179" s="65" t="b">
        <f>TEXT(导出!Q177,"#.00")=TEXT(计算!Q177, "#.00")</f>
        <v>1</v>
      </c>
      <c r="R179" s="65" t="b">
        <f>TEXT(导出!R177,"#.00")=TEXT(计算!R177, "#.00")</f>
        <v>1</v>
      </c>
      <c r="S179" s="65" t="b">
        <f>TEXT(导出!S177,"#.00")=TEXT(计算!S177, "#.00")</f>
        <v>1</v>
      </c>
      <c r="T179" s="65" t="b">
        <f>TEXT(导出!T177,"#.00")=TEXT(计算!T177, "#.00")</f>
        <v>1</v>
      </c>
      <c r="U179" s="65" t="b">
        <f>TEXT(导出!U177,"#.00")=TEXT(计算!U177, "#.00")</f>
        <v>1</v>
      </c>
      <c r="V179" s="65" t="b">
        <f>TEXT(导出!V177,"#.00")=TEXT(计算!V177*100, "#.00")</f>
        <v>1</v>
      </c>
      <c r="W179" s="65" t="b">
        <f>TEXT(导出!W177,"#.00")=TEXT(计算!W177, "#.00")</f>
        <v>1</v>
      </c>
      <c r="X179" s="65" t="b">
        <f>TEXT(导出!X177,"#.00")=TEXT(计算!X177, "#.00")</f>
        <v>1</v>
      </c>
      <c r="Y179" s="65" t="b">
        <f>TEXT(导出!Y177,"#.00")=TEXT(计算!Y177, "#.00")</f>
        <v>1</v>
      </c>
      <c r="Z179" s="65" t="b">
        <f>TEXT(导出!Z177,"#.00")=TEXT(计算!Z177, "#.00")</f>
        <v>1</v>
      </c>
      <c r="AA179" s="65" t="b">
        <f>TEXT(导出!AA177,"#.00")=TEXT(计算!AA177*100, "#.00")</f>
        <v>1</v>
      </c>
      <c r="AB179" s="65" t="b">
        <f>TEXT(导出!AB177,"#.00")=TEXT(计算!AB177, "#.00")</f>
        <v>1</v>
      </c>
      <c r="AC179" s="65" t="b">
        <f>TEXT(导出!AC177,"#.00")=TEXT(计算!AC177, "#.00")</f>
        <v>1</v>
      </c>
      <c r="AD179" s="65" t="b">
        <f>TEXT(导出!AD177,"#.00")=TEXT(计算!AD177, "#.00")</f>
        <v>1</v>
      </c>
      <c r="AE179" s="65" t="b">
        <f>ABS(导出!AE177-计算!AE177)&lt;10</f>
        <v>1</v>
      </c>
      <c r="AF179" s="65" t="b">
        <f>TEXT(ABS(导出!AF177),"#.00")=TEXT(ABS(计算!AF177), "#.00")</f>
        <v>1</v>
      </c>
      <c r="AG179" s="65" t="b">
        <f>TEXT(导出!AG177,"#.00")=TEXT(计算!AG177, "#.00")</f>
        <v>1</v>
      </c>
      <c r="AH179" s="65" t="b">
        <f>TEXT(导出!AH177,"#.00")=TEXT(计算!AH177, "#.00")</f>
        <v>1</v>
      </c>
      <c r="AI179">
        <v>0</v>
      </c>
      <c r="AJ179" s="3">
        <v>41912.6862847222</v>
      </c>
      <c r="AK179" s="2" t="s">
        <v>1798</v>
      </c>
    </row>
    <row r="180" spans="1:37" x14ac:dyDescent="0.15">
      <c r="A180" s="2" t="s">
        <v>1797</v>
      </c>
      <c r="B180">
        <v>252</v>
      </c>
      <c r="C180" s="3">
        <v>41821</v>
      </c>
      <c r="D180" s="2" t="s">
        <v>37</v>
      </c>
      <c r="E180" s="2" t="s">
        <v>1796</v>
      </c>
      <c r="F180" s="2" t="s">
        <v>41</v>
      </c>
      <c r="G180" s="2" t="s">
        <v>403</v>
      </c>
      <c r="H180" s="2" t="s">
        <v>404</v>
      </c>
      <c r="I180" s="65" t="b">
        <f>导出!I178=计算!I178</f>
        <v>1</v>
      </c>
      <c r="J180" s="65" t="b">
        <f>导出!J178=计算!J178</f>
        <v>1</v>
      </c>
      <c r="K180" s="65" t="b">
        <f>导出!K178=计算!K178</f>
        <v>1</v>
      </c>
      <c r="L180" s="65" t="b">
        <f>导出!L178=计算!L178</f>
        <v>1</v>
      </c>
      <c r="M180" s="65" t="b">
        <f>导出!M178=计算!M178</f>
        <v>1</v>
      </c>
      <c r="N180" s="65" t="b">
        <f>TEXT(导出!N178,"#.00")=TEXT(计算!N178, "#.00")</f>
        <v>1</v>
      </c>
      <c r="O180" s="65" t="b">
        <f>TEXT(导出!O178,"#.00")=TEXT(计算!O178, "#.00")</f>
        <v>1</v>
      </c>
      <c r="P180" s="65" t="b">
        <f>TEXT(导出!P178,"#.00")=TEXT(计算!P178, "#.00")</f>
        <v>1</v>
      </c>
      <c r="Q180" s="65" t="b">
        <f>TEXT(导出!Q178,"#.00")=TEXT(计算!Q178, "#.00")</f>
        <v>1</v>
      </c>
      <c r="R180" s="65" t="b">
        <f>TEXT(导出!R178,"#.00")=TEXT(计算!R178, "#.00")</f>
        <v>1</v>
      </c>
      <c r="S180" s="65" t="b">
        <f>TEXT(导出!S178,"#.00")=TEXT(计算!S178, "#.00")</f>
        <v>1</v>
      </c>
      <c r="T180" s="65" t="b">
        <f>TEXT(导出!T178,"#.00")=TEXT(计算!T178, "#.00")</f>
        <v>1</v>
      </c>
      <c r="U180" s="65" t="b">
        <f>TEXT(导出!U178,"#.00")=TEXT(计算!U178, "#.00")</f>
        <v>1</v>
      </c>
      <c r="V180" s="65" t="b">
        <f>TEXT(导出!V178,"#.00")=TEXT(计算!V178*100, "#.00")</f>
        <v>1</v>
      </c>
      <c r="W180" s="65" t="b">
        <f>TEXT(导出!W178,"#.00")=TEXT(计算!W178, "#.00")</f>
        <v>1</v>
      </c>
      <c r="X180" s="65" t="b">
        <f>TEXT(导出!X178,"#.00")=TEXT(计算!X178, "#.00")</f>
        <v>1</v>
      </c>
      <c r="Y180" s="65" t="b">
        <f>TEXT(导出!Y178,"#.00")=TEXT(计算!Y178, "#.00")</f>
        <v>1</v>
      </c>
      <c r="Z180" s="65" t="b">
        <f>TEXT(导出!Z178,"#.00")=TEXT(计算!Z178, "#.00")</f>
        <v>1</v>
      </c>
      <c r="AA180" s="65" t="b">
        <f>TEXT(导出!AA178,"#.00")=TEXT(计算!AA178*100, "#.00")</f>
        <v>1</v>
      </c>
      <c r="AB180" s="65" t="b">
        <f>TEXT(导出!AB178,"#.00")=TEXT(计算!AB178, "#.00")</f>
        <v>1</v>
      </c>
      <c r="AC180" s="65" t="b">
        <f>TEXT(导出!AC178,"#.00")=TEXT(计算!AC178, "#.00")</f>
        <v>1</v>
      </c>
      <c r="AD180" s="65" t="b">
        <f>TEXT(导出!AD178,"#.00")=TEXT(计算!AD178, "#.00")</f>
        <v>1</v>
      </c>
      <c r="AE180" s="65" t="b">
        <f>ABS(导出!AE178-计算!AE178)&lt;10</f>
        <v>1</v>
      </c>
      <c r="AF180" s="65" t="b">
        <f>TEXT(ABS(导出!AF178),"#.00")=TEXT(ABS(计算!AF178), "#.00")</f>
        <v>1</v>
      </c>
      <c r="AG180" s="65" t="b">
        <f>TEXT(导出!AG178,"#.00")=TEXT(计算!AG178, "#.00")</f>
        <v>1</v>
      </c>
      <c r="AH180" s="65" t="b">
        <f>TEXT(导出!AH178,"#.00")=TEXT(计算!AH178, "#.00")</f>
        <v>1</v>
      </c>
      <c r="AI180">
        <v>0</v>
      </c>
      <c r="AJ180" s="3">
        <v>41912.6862384259</v>
      </c>
      <c r="AK180" s="2" t="s">
        <v>1795</v>
      </c>
    </row>
    <row r="181" spans="1:37" x14ac:dyDescent="0.15">
      <c r="A181" s="2" t="s">
        <v>1794</v>
      </c>
      <c r="B181">
        <v>262</v>
      </c>
      <c r="C181" s="3">
        <v>41821</v>
      </c>
      <c r="D181" s="2" t="s">
        <v>37</v>
      </c>
      <c r="E181" s="2" t="s">
        <v>1793</v>
      </c>
      <c r="F181" s="2" t="s">
        <v>41</v>
      </c>
      <c r="G181" s="2" t="s">
        <v>405</v>
      </c>
      <c r="H181" s="2" t="s">
        <v>406</v>
      </c>
      <c r="I181" s="65" t="b">
        <f>导出!I179=计算!I179</f>
        <v>1</v>
      </c>
      <c r="J181" s="65" t="b">
        <f>导出!J179=计算!J179</f>
        <v>1</v>
      </c>
      <c r="K181" s="65" t="b">
        <f>导出!K179=计算!K179</f>
        <v>1</v>
      </c>
      <c r="L181" s="65" t="b">
        <f>导出!L179=计算!L179</f>
        <v>1</v>
      </c>
      <c r="M181" s="65" t="b">
        <f>导出!M179=计算!M179</f>
        <v>1</v>
      </c>
      <c r="N181" s="65" t="b">
        <f>TEXT(导出!N179,"#.00")=TEXT(计算!N179, "#.00")</f>
        <v>1</v>
      </c>
      <c r="O181" s="65" t="b">
        <f>TEXT(导出!O179,"#.00")=TEXT(计算!O179, "#.00")</f>
        <v>1</v>
      </c>
      <c r="P181" s="65" t="b">
        <f>TEXT(导出!P179,"#.00")=TEXT(计算!P179, "#.00")</f>
        <v>1</v>
      </c>
      <c r="Q181" s="65" t="b">
        <f>TEXT(导出!Q179,"#.00")=TEXT(计算!Q179, "#.00")</f>
        <v>1</v>
      </c>
      <c r="R181" s="65" t="b">
        <f>TEXT(导出!R179,"#.00")=TEXT(计算!R179, "#.00")</f>
        <v>1</v>
      </c>
      <c r="S181" s="65" t="b">
        <f>TEXT(导出!S179,"#.00")=TEXT(计算!S179, "#.00")</f>
        <v>1</v>
      </c>
      <c r="T181" s="65" t="b">
        <f>TEXT(导出!T179,"#.00")=TEXT(计算!T179, "#.00")</f>
        <v>1</v>
      </c>
      <c r="U181" s="65" t="b">
        <f>TEXT(导出!U179,"#.00")=TEXT(计算!U179, "#.00")</f>
        <v>1</v>
      </c>
      <c r="V181" s="65" t="b">
        <f>TEXT(导出!V179,"#.00")=TEXT(计算!V179*100, "#.00")</f>
        <v>1</v>
      </c>
      <c r="W181" s="65" t="b">
        <f>TEXT(导出!W179,"#.00")=TEXT(计算!W179, "#.00")</f>
        <v>1</v>
      </c>
      <c r="X181" s="65" t="b">
        <f>TEXT(导出!X179,"#.00")=TEXT(计算!X179, "#.00")</f>
        <v>1</v>
      </c>
      <c r="Y181" s="65" t="b">
        <f>TEXT(导出!Y179,"#.00")=TEXT(计算!Y179, "#.00")</f>
        <v>1</v>
      </c>
      <c r="Z181" s="65" t="b">
        <f>TEXT(导出!Z179,"#.00")=TEXT(计算!Z179, "#.00")</f>
        <v>1</v>
      </c>
      <c r="AA181" s="65" t="b">
        <f>TEXT(导出!AA179,"#.00")=TEXT(计算!AA179*100, "#.00")</f>
        <v>1</v>
      </c>
      <c r="AB181" s="65" t="b">
        <f>TEXT(导出!AB179,"#.00")=TEXT(计算!AB179, "#.00")</f>
        <v>1</v>
      </c>
      <c r="AC181" s="65" t="b">
        <f>TEXT(导出!AC179,"#.00")=TEXT(计算!AC179, "#.00")</f>
        <v>1</v>
      </c>
      <c r="AD181" s="65" t="b">
        <f>TEXT(导出!AD179,"#.00")=TEXT(计算!AD179, "#.00")</f>
        <v>1</v>
      </c>
      <c r="AE181" s="65" t="b">
        <f>ABS(导出!AE179-计算!AE179)&lt;10</f>
        <v>1</v>
      </c>
      <c r="AF181" s="65" t="b">
        <f>TEXT(ABS(导出!AF179),"#.00")=TEXT(ABS(计算!AF179), "#.00")</f>
        <v>1</v>
      </c>
      <c r="AG181" s="65" t="b">
        <f>TEXT(导出!AG179,"#.00")=TEXT(计算!AG179, "#.00")</f>
        <v>1</v>
      </c>
      <c r="AH181" s="65" t="b">
        <f>TEXT(导出!AH179,"#.00")=TEXT(计算!AH179, "#.00")</f>
        <v>1</v>
      </c>
      <c r="AI181">
        <v>0</v>
      </c>
      <c r="AJ181" s="3">
        <v>41912.6862384259</v>
      </c>
      <c r="AK181" s="2" t="s">
        <v>1792</v>
      </c>
    </row>
    <row r="182" spans="1:37" x14ac:dyDescent="0.15">
      <c r="A182" s="2" t="s">
        <v>1791</v>
      </c>
      <c r="B182">
        <v>271</v>
      </c>
      <c r="C182" s="3">
        <v>41821</v>
      </c>
      <c r="D182" s="2" t="s">
        <v>37</v>
      </c>
      <c r="E182" s="2" t="s">
        <v>1790</v>
      </c>
      <c r="F182" s="2" t="s">
        <v>41</v>
      </c>
      <c r="G182" s="2" t="s">
        <v>407</v>
      </c>
      <c r="H182" s="2" t="s">
        <v>408</v>
      </c>
      <c r="I182" s="65" t="b">
        <f>导出!I180=计算!I180</f>
        <v>1</v>
      </c>
      <c r="J182" s="65" t="b">
        <f>导出!J180=计算!J180</f>
        <v>1</v>
      </c>
      <c r="K182" s="65" t="b">
        <f>导出!K180=计算!K180</f>
        <v>1</v>
      </c>
      <c r="L182" s="65" t="b">
        <f>导出!L180=计算!L180</f>
        <v>1</v>
      </c>
      <c r="M182" s="65" t="b">
        <f>导出!M180=计算!M180</f>
        <v>1</v>
      </c>
      <c r="N182" s="65" t="b">
        <f>TEXT(导出!N180,"#.00")=TEXT(计算!N180, "#.00")</f>
        <v>1</v>
      </c>
      <c r="O182" s="65" t="b">
        <f>TEXT(导出!O180,"#.00")=TEXT(计算!O180, "#.00")</f>
        <v>1</v>
      </c>
      <c r="P182" s="65" t="b">
        <f>TEXT(导出!P180,"#.00")=TEXT(计算!P180, "#.00")</f>
        <v>1</v>
      </c>
      <c r="Q182" s="65" t="b">
        <f>TEXT(导出!Q180,"#.00")=TEXT(计算!Q180, "#.00")</f>
        <v>1</v>
      </c>
      <c r="R182" s="65" t="b">
        <f>TEXT(导出!R180,"#.00")=TEXT(计算!R180, "#.00")</f>
        <v>1</v>
      </c>
      <c r="S182" s="65" t="b">
        <f>TEXT(导出!S180,"#.00")=TEXT(计算!S180, "#.00")</f>
        <v>1</v>
      </c>
      <c r="T182" s="65" t="b">
        <f>TEXT(导出!T180,"#.00")=TEXT(计算!T180, "#.00")</f>
        <v>1</v>
      </c>
      <c r="U182" s="65" t="b">
        <f>TEXT(导出!U180,"#.00")=TEXT(计算!U180, "#.00")</f>
        <v>1</v>
      </c>
      <c r="V182" s="65" t="b">
        <f>TEXT(导出!V180,"#.00")=TEXT(计算!V180*100, "#.00")</f>
        <v>1</v>
      </c>
      <c r="W182" s="65" t="b">
        <f>TEXT(导出!W180,"#.00")=TEXT(计算!W180, "#.00")</f>
        <v>1</v>
      </c>
      <c r="X182" s="65" t="b">
        <f>TEXT(导出!X180,"#.00")=TEXT(计算!X180, "#.00")</f>
        <v>1</v>
      </c>
      <c r="Y182" s="65" t="b">
        <f>TEXT(导出!Y180,"#.00")=TEXT(计算!Y180, "#.00")</f>
        <v>1</v>
      </c>
      <c r="Z182" s="65" t="b">
        <f>TEXT(导出!Z180,"#.00")=TEXT(计算!Z180, "#.00")</f>
        <v>1</v>
      </c>
      <c r="AA182" s="65" t="b">
        <f>TEXT(导出!AA180,"#.00")=TEXT(计算!AA180*100, "#.00")</f>
        <v>1</v>
      </c>
      <c r="AB182" s="65" t="b">
        <f>TEXT(导出!AB180,"#.00")=TEXT(计算!AB180, "#.00")</f>
        <v>1</v>
      </c>
      <c r="AC182" s="65" t="b">
        <f>TEXT(导出!AC180,"#.00")=TEXT(计算!AC180, "#.00")</f>
        <v>1</v>
      </c>
      <c r="AD182" s="65" t="b">
        <f>TEXT(导出!AD180,"#.00")=TEXT(计算!AD180, "#.00")</f>
        <v>1</v>
      </c>
      <c r="AE182" s="65" t="b">
        <f>ABS(导出!AE180-计算!AE180)&lt;10</f>
        <v>1</v>
      </c>
      <c r="AF182" s="65" t="b">
        <f>TEXT(ABS(导出!AF180),"#.00")=TEXT(ABS(计算!AF180), "#.00")</f>
        <v>1</v>
      </c>
      <c r="AG182" s="65" t="b">
        <f>TEXT(导出!AG180,"#.00")=TEXT(计算!AG180, "#.00")</f>
        <v>1</v>
      </c>
      <c r="AH182" s="65" t="b">
        <f>TEXT(导出!AH180,"#.00")=TEXT(计算!AH180, "#.00")</f>
        <v>1</v>
      </c>
      <c r="AI182">
        <v>0</v>
      </c>
      <c r="AJ182" s="3">
        <v>41912.686249999999</v>
      </c>
      <c r="AK182" s="2" t="s">
        <v>1789</v>
      </c>
    </row>
    <row r="183" spans="1:37" x14ac:dyDescent="0.15">
      <c r="A183" s="2" t="s">
        <v>1788</v>
      </c>
      <c r="B183">
        <v>282</v>
      </c>
      <c r="C183" s="3">
        <v>41821</v>
      </c>
      <c r="D183" s="2" t="s">
        <v>37</v>
      </c>
      <c r="E183" s="2" t="s">
        <v>1787</v>
      </c>
      <c r="F183" s="2" t="s">
        <v>41</v>
      </c>
      <c r="G183" s="2" t="s">
        <v>413</v>
      </c>
      <c r="H183" s="2" t="s">
        <v>414</v>
      </c>
      <c r="I183" s="65" t="b">
        <f>导出!I181=计算!I181</f>
        <v>1</v>
      </c>
      <c r="J183" s="65" t="b">
        <f>导出!J181=计算!J181</f>
        <v>1</v>
      </c>
      <c r="K183" s="65" t="b">
        <f>导出!K181=计算!K181</f>
        <v>1</v>
      </c>
      <c r="L183" s="65" t="b">
        <f>导出!L181=计算!L181</f>
        <v>1</v>
      </c>
      <c r="M183" s="65" t="b">
        <f>导出!M181=计算!M181</f>
        <v>1</v>
      </c>
      <c r="N183" s="65" t="b">
        <f>TEXT(导出!N181,"#.00")=TEXT(计算!N181, "#.00")</f>
        <v>1</v>
      </c>
      <c r="O183" s="65" t="b">
        <f>TEXT(导出!O181,"#.00")=TEXT(计算!O181, "#.00")</f>
        <v>1</v>
      </c>
      <c r="P183" s="65" t="b">
        <f>TEXT(导出!P181,"#.00")=TEXT(计算!P181, "#.00")</f>
        <v>1</v>
      </c>
      <c r="Q183" s="65" t="b">
        <f>TEXT(导出!Q181,"#.00")=TEXT(计算!Q181, "#.00")</f>
        <v>1</v>
      </c>
      <c r="R183" s="65" t="b">
        <f>TEXT(导出!R181,"#.00")=TEXT(计算!R181, "#.00")</f>
        <v>1</v>
      </c>
      <c r="S183" s="65" t="b">
        <f>TEXT(导出!S181,"#.00")=TEXT(计算!S181, "#.00")</f>
        <v>1</v>
      </c>
      <c r="T183" s="65" t="b">
        <f>TEXT(导出!T181,"#.00")=TEXT(计算!T181, "#.00")</f>
        <v>1</v>
      </c>
      <c r="U183" s="65" t="b">
        <f>TEXT(导出!U181,"#.00")=TEXT(计算!U181, "#.00")</f>
        <v>1</v>
      </c>
      <c r="V183" s="65" t="b">
        <f>TEXT(导出!V181,"#.00")=TEXT(计算!V181*100, "#.00")</f>
        <v>1</v>
      </c>
      <c r="W183" s="65" t="b">
        <f>TEXT(导出!W181,"#.00")=TEXT(计算!W181, "#.00")</f>
        <v>1</v>
      </c>
      <c r="X183" s="65" t="b">
        <f>TEXT(导出!X181,"#.00")=TEXT(计算!X181, "#.00")</f>
        <v>1</v>
      </c>
      <c r="Y183" s="65" t="b">
        <f>TEXT(导出!Y181,"#.00")=TEXT(计算!Y181, "#.00")</f>
        <v>1</v>
      </c>
      <c r="Z183" s="65" t="b">
        <f>TEXT(导出!Z181,"#.00")=TEXT(计算!Z181, "#.00")</f>
        <v>1</v>
      </c>
      <c r="AA183" s="65" t="b">
        <f>TEXT(导出!AA181,"#.00")=TEXT(计算!AA181*100, "#.00")</f>
        <v>1</v>
      </c>
      <c r="AB183" s="65" t="b">
        <f>TEXT(导出!AB181,"#.00")=TEXT(计算!AB181, "#.00")</f>
        <v>1</v>
      </c>
      <c r="AC183" s="65" t="b">
        <f>TEXT(导出!AC181,"#.00")=TEXT(计算!AC181, "#.00")</f>
        <v>1</v>
      </c>
      <c r="AD183" s="65" t="b">
        <f>TEXT(导出!AD181,"#.00")=TEXT(计算!AD181, "#.00")</f>
        <v>1</v>
      </c>
      <c r="AE183" s="65" t="b">
        <f>ABS(导出!AE181-计算!AE181)&lt;10</f>
        <v>1</v>
      </c>
      <c r="AF183" s="65" t="b">
        <f>TEXT(ABS(导出!AF181),"#.00")=TEXT(ABS(计算!AF181), "#.00")</f>
        <v>1</v>
      </c>
      <c r="AG183" s="65" t="b">
        <f>TEXT(导出!AG181,"#.00")=TEXT(计算!AG181, "#.00")</f>
        <v>1</v>
      </c>
      <c r="AH183" s="65" t="b">
        <f>TEXT(导出!AH181,"#.00")=TEXT(计算!AH181, "#.00")</f>
        <v>1</v>
      </c>
      <c r="AI183">
        <v>0</v>
      </c>
      <c r="AJ183" s="3">
        <v>41912.686249999999</v>
      </c>
      <c r="AK183" s="2" t="s">
        <v>1786</v>
      </c>
    </row>
    <row r="184" spans="1:37" x14ac:dyDescent="0.15">
      <c r="A184" s="2" t="s">
        <v>1785</v>
      </c>
      <c r="B184">
        <v>277</v>
      </c>
      <c r="C184" s="3">
        <v>41821</v>
      </c>
      <c r="D184" s="2" t="s">
        <v>37</v>
      </c>
      <c r="E184" s="2" t="s">
        <v>1784</v>
      </c>
      <c r="F184" s="2" t="s">
        <v>41</v>
      </c>
      <c r="G184" s="2" t="s">
        <v>409</v>
      </c>
      <c r="H184" s="2" t="s">
        <v>410</v>
      </c>
      <c r="I184" s="65" t="b">
        <f>导出!I182=计算!I182</f>
        <v>1</v>
      </c>
      <c r="J184" s="65" t="b">
        <f>导出!J182=计算!J182</f>
        <v>1</v>
      </c>
      <c r="K184" s="65" t="b">
        <f>导出!K182=计算!K182</f>
        <v>1</v>
      </c>
      <c r="L184" s="65" t="b">
        <f>导出!L182=计算!L182</f>
        <v>1</v>
      </c>
      <c r="M184" s="65" t="b">
        <f>导出!M182=计算!M182</f>
        <v>1</v>
      </c>
      <c r="N184" s="65" t="b">
        <f>TEXT(导出!N182,"#.00")=TEXT(计算!N182, "#.00")</f>
        <v>1</v>
      </c>
      <c r="O184" s="65" t="b">
        <f>TEXT(导出!O182,"#.00")=TEXT(计算!O182, "#.00")</f>
        <v>1</v>
      </c>
      <c r="P184" s="65" t="b">
        <f>TEXT(导出!P182,"#.00")=TEXT(计算!P182, "#.00")</f>
        <v>1</v>
      </c>
      <c r="Q184" s="65" t="b">
        <f>TEXT(导出!Q182,"#.00")=TEXT(计算!Q182, "#.00")</f>
        <v>1</v>
      </c>
      <c r="R184" s="65" t="b">
        <f>TEXT(导出!R182,"#.00")=TEXT(计算!R182, "#.00")</f>
        <v>1</v>
      </c>
      <c r="S184" s="65" t="b">
        <f>TEXT(导出!S182,"#.00")=TEXT(计算!S182, "#.00")</f>
        <v>1</v>
      </c>
      <c r="T184" s="65" t="b">
        <f>TEXT(导出!T182,"#.00")=TEXT(计算!T182, "#.00")</f>
        <v>1</v>
      </c>
      <c r="U184" s="65" t="b">
        <f>TEXT(导出!U182,"#.00")=TEXT(计算!U182, "#.00")</f>
        <v>1</v>
      </c>
      <c r="V184" s="65" t="b">
        <f>TEXT(导出!V182,"#.00")=TEXT(计算!V182*100, "#.00")</f>
        <v>1</v>
      </c>
      <c r="W184" s="65" t="b">
        <f>TEXT(导出!W182,"#.00")=TEXT(计算!W182, "#.00")</f>
        <v>1</v>
      </c>
      <c r="X184" s="65" t="b">
        <f>TEXT(导出!X182,"#.00")=TEXT(计算!X182, "#.00")</f>
        <v>1</v>
      </c>
      <c r="Y184" s="65" t="b">
        <f>TEXT(导出!Y182,"#.00")=TEXT(计算!Y182, "#.00")</f>
        <v>1</v>
      </c>
      <c r="Z184" s="65" t="b">
        <f>TEXT(导出!Z182,"#.00")=TEXT(计算!Z182, "#.00")</f>
        <v>1</v>
      </c>
      <c r="AA184" s="65" t="b">
        <f>TEXT(导出!AA182,"#.00")=TEXT(计算!AA182*100, "#.00")</f>
        <v>1</v>
      </c>
      <c r="AB184" s="65" t="b">
        <f>TEXT(导出!AB182,"#.00")=TEXT(计算!AB182, "#.00")</f>
        <v>1</v>
      </c>
      <c r="AC184" s="65" t="b">
        <f>TEXT(导出!AC182,"#.00")=TEXT(计算!AC182, "#.00")</f>
        <v>1</v>
      </c>
      <c r="AD184" s="65" t="b">
        <f>TEXT(导出!AD182,"#.00")=TEXT(计算!AD182, "#.00")</f>
        <v>1</v>
      </c>
      <c r="AE184" s="65" t="b">
        <f>ABS(导出!AE182-计算!AE182)&lt;10</f>
        <v>1</v>
      </c>
      <c r="AF184" s="65" t="b">
        <f>TEXT(ABS(导出!AF182),"#.00")=TEXT(ABS(计算!AF182), "#.00")</f>
        <v>1</v>
      </c>
      <c r="AG184" s="65" t="b">
        <f>TEXT(导出!AG182,"#.00")=TEXT(计算!AG182, "#.00")</f>
        <v>1</v>
      </c>
      <c r="AH184" s="65" t="b">
        <f>TEXT(导出!AH182,"#.00")=TEXT(计算!AH182, "#.00")</f>
        <v>1</v>
      </c>
      <c r="AI184">
        <v>0</v>
      </c>
      <c r="AJ184" s="3">
        <v>41912.686249999999</v>
      </c>
      <c r="AK184" s="2" t="s">
        <v>1783</v>
      </c>
    </row>
    <row r="185" spans="1:37" x14ac:dyDescent="0.15">
      <c r="A185" s="2" t="s">
        <v>1782</v>
      </c>
      <c r="B185">
        <v>288</v>
      </c>
      <c r="C185" s="3">
        <v>41821</v>
      </c>
      <c r="D185" s="2" t="s">
        <v>37</v>
      </c>
      <c r="E185" s="2" t="s">
        <v>1781</v>
      </c>
      <c r="F185" s="2" t="s">
        <v>41</v>
      </c>
      <c r="G185" s="2" t="s">
        <v>415</v>
      </c>
      <c r="H185" s="2" t="s">
        <v>416</v>
      </c>
      <c r="I185" s="65" t="b">
        <f>导出!I183=计算!I183</f>
        <v>1</v>
      </c>
      <c r="J185" s="65" t="b">
        <f>导出!J183=计算!J183</f>
        <v>1</v>
      </c>
      <c r="K185" s="65" t="b">
        <f>导出!K183=计算!K183</f>
        <v>1</v>
      </c>
      <c r="L185" s="65" t="b">
        <f>导出!L183=计算!L183</f>
        <v>1</v>
      </c>
      <c r="M185" s="65" t="b">
        <f>导出!M183=计算!M183</f>
        <v>1</v>
      </c>
      <c r="N185" s="65" t="b">
        <f>TEXT(导出!N183,"#.00")=TEXT(计算!N183, "#.00")</f>
        <v>1</v>
      </c>
      <c r="O185" s="65" t="b">
        <f>TEXT(导出!O183,"#.00")=TEXT(计算!O183, "#.00")</f>
        <v>1</v>
      </c>
      <c r="P185" s="65" t="b">
        <f>TEXT(导出!P183,"#.00")=TEXT(计算!P183, "#.00")</f>
        <v>1</v>
      </c>
      <c r="Q185" s="65" t="b">
        <f>TEXT(导出!Q183,"#.00")=TEXT(计算!Q183, "#.00")</f>
        <v>1</v>
      </c>
      <c r="R185" s="65" t="b">
        <f>TEXT(导出!R183,"#.00")=TEXT(计算!R183, "#.00")</f>
        <v>1</v>
      </c>
      <c r="S185" s="65" t="b">
        <f>TEXT(导出!S183,"#.00")=TEXT(计算!S183, "#.00")</f>
        <v>1</v>
      </c>
      <c r="T185" s="65" t="b">
        <f>TEXT(导出!T183,"#.00")=TEXT(计算!T183, "#.00")</f>
        <v>1</v>
      </c>
      <c r="U185" s="65" t="b">
        <f>TEXT(导出!U183,"#.00")=TEXT(计算!U183, "#.00")</f>
        <v>1</v>
      </c>
      <c r="V185" s="65" t="b">
        <f>TEXT(导出!V183,"#.00")=TEXT(计算!V183*100, "#.00")</f>
        <v>1</v>
      </c>
      <c r="W185" s="65" t="b">
        <f>TEXT(导出!W183,"#.00")=TEXT(计算!W183, "#.00")</f>
        <v>1</v>
      </c>
      <c r="X185" s="65" t="b">
        <f>TEXT(导出!X183,"#.00")=TEXT(计算!X183, "#.00")</f>
        <v>1</v>
      </c>
      <c r="Y185" s="65" t="b">
        <f>TEXT(导出!Y183,"#.00")=TEXT(计算!Y183, "#.00")</f>
        <v>1</v>
      </c>
      <c r="Z185" s="65" t="b">
        <f>TEXT(导出!Z183,"#.00")=TEXT(计算!Z183, "#.00")</f>
        <v>1</v>
      </c>
      <c r="AA185" s="65" t="b">
        <f>TEXT(导出!AA183,"#.00")=TEXT(计算!AA183*100, "#.00")</f>
        <v>1</v>
      </c>
      <c r="AB185" s="65" t="b">
        <f>TEXT(导出!AB183,"#.00")=TEXT(计算!AB183, "#.00")</f>
        <v>1</v>
      </c>
      <c r="AC185" s="65" t="b">
        <f>TEXT(导出!AC183,"#.00")=TEXT(计算!AC183, "#.00")</f>
        <v>1</v>
      </c>
      <c r="AD185" s="65" t="b">
        <f>TEXT(导出!AD183,"#.00")=TEXT(计算!AD183, "#.00")</f>
        <v>1</v>
      </c>
      <c r="AE185" s="65" t="b">
        <f>ABS(导出!AE183-计算!AE183)&lt;10</f>
        <v>1</v>
      </c>
      <c r="AF185" s="65" t="b">
        <f>TEXT(ABS(导出!AF183),"#.00")=TEXT(ABS(计算!AF183), "#.00")</f>
        <v>1</v>
      </c>
      <c r="AG185" s="65" t="b">
        <f>TEXT(导出!AG183,"#.00")=TEXT(计算!AG183, "#.00")</f>
        <v>1</v>
      </c>
      <c r="AH185" s="65" t="b">
        <f>TEXT(导出!AH183,"#.00")=TEXT(计算!AH183, "#.00")</f>
        <v>1</v>
      </c>
      <c r="AI185">
        <v>0</v>
      </c>
      <c r="AJ185" s="3">
        <v>41912.686249999999</v>
      </c>
      <c r="AK185" s="2" t="s">
        <v>1780</v>
      </c>
    </row>
    <row r="186" spans="1:37" x14ac:dyDescent="0.15">
      <c r="A186" s="2" t="s">
        <v>1779</v>
      </c>
      <c r="B186">
        <v>1199</v>
      </c>
      <c r="C186" s="3">
        <v>41821</v>
      </c>
      <c r="D186" s="2" t="s">
        <v>37</v>
      </c>
      <c r="E186" s="2" t="s">
        <v>1778</v>
      </c>
      <c r="F186" s="2" t="s">
        <v>38</v>
      </c>
      <c r="G186" s="2" t="s">
        <v>411</v>
      </c>
      <c r="H186" s="2" t="s">
        <v>412</v>
      </c>
      <c r="I186" s="65" t="b">
        <f>导出!I184=计算!I184</f>
        <v>1</v>
      </c>
      <c r="J186" s="65" t="b">
        <f>导出!J184=计算!J184</f>
        <v>1</v>
      </c>
      <c r="K186" s="65" t="b">
        <f>导出!K184=计算!K184</f>
        <v>1</v>
      </c>
      <c r="L186" s="65" t="b">
        <f>导出!L184=计算!L184</f>
        <v>1</v>
      </c>
      <c r="M186" s="65" t="b">
        <f>导出!M184=计算!M184</f>
        <v>1</v>
      </c>
      <c r="N186" s="65" t="b">
        <f>TEXT(导出!N184,"#.00")=TEXT(计算!N184, "#.00")</f>
        <v>1</v>
      </c>
      <c r="O186" s="65" t="b">
        <f>TEXT(导出!O184,"#.00")=TEXT(计算!O184, "#.00")</f>
        <v>1</v>
      </c>
      <c r="P186" s="65" t="b">
        <f>TEXT(导出!P184,"#.00")=TEXT(计算!P184, "#.00")</f>
        <v>1</v>
      </c>
      <c r="Q186" s="65" t="b">
        <f>TEXT(导出!Q184,"#.00")=TEXT(计算!Q184, "#.00")</f>
        <v>1</v>
      </c>
      <c r="R186" s="65" t="b">
        <f>TEXT(导出!R184,"#.00")=TEXT(计算!R184, "#.00")</f>
        <v>1</v>
      </c>
      <c r="S186" s="65" t="b">
        <f>TEXT(导出!S184,"#.00")=TEXT(计算!S184, "#.00")</f>
        <v>1</v>
      </c>
      <c r="T186" s="65" t="b">
        <f>TEXT(导出!T184,"#.00")=TEXT(计算!T184, "#.00")</f>
        <v>1</v>
      </c>
      <c r="U186" s="65" t="b">
        <f>TEXT(导出!U184,"#.00")=TEXT(计算!U184, "#.00")</f>
        <v>1</v>
      </c>
      <c r="V186" s="65" t="b">
        <f>TEXT(导出!V184,"#.00")=TEXT(计算!V184*100, "#.00")</f>
        <v>1</v>
      </c>
      <c r="W186" s="65" t="b">
        <f>TEXT(导出!W184,"#.00")=TEXT(计算!W184, "#.00")</f>
        <v>1</v>
      </c>
      <c r="X186" s="65" t="b">
        <f>TEXT(导出!X184,"#.00")=TEXT(计算!X184, "#.00")</f>
        <v>1</v>
      </c>
      <c r="Y186" s="65" t="b">
        <f>TEXT(导出!Y184,"#.00")=TEXT(计算!Y184, "#.00")</f>
        <v>1</v>
      </c>
      <c r="Z186" s="65" t="b">
        <f>TEXT(导出!Z184,"#.00")=TEXT(计算!Z184, "#.00")</f>
        <v>1</v>
      </c>
      <c r="AA186" s="65" t="b">
        <f>TEXT(导出!AA184,"#.00")=TEXT(计算!AA184*100, "#.00")</f>
        <v>1</v>
      </c>
      <c r="AB186" s="65" t="b">
        <f>TEXT(导出!AB184,"#.00")=TEXT(计算!AB184, "#.00")</f>
        <v>1</v>
      </c>
      <c r="AC186" s="65" t="b">
        <f>TEXT(导出!AC184,"#.00")=TEXT(计算!AC184, "#.00")</f>
        <v>1</v>
      </c>
      <c r="AD186" s="65" t="b">
        <f>TEXT(导出!AD184,"#.00")=TEXT(计算!AD184, "#.00")</f>
        <v>1</v>
      </c>
      <c r="AE186" s="65" t="b">
        <f>ABS(导出!AE184-计算!AE184)&lt;10</f>
        <v>1</v>
      </c>
      <c r="AF186" s="65" t="b">
        <f>TEXT(ABS(导出!AF184),"#.00")=TEXT(ABS(计算!AF184), "#.00")</f>
        <v>1</v>
      </c>
      <c r="AG186" s="65" t="b">
        <f>TEXT(导出!AG184,"#.00")=TEXT(计算!AG184, "#.00")</f>
        <v>1</v>
      </c>
      <c r="AH186" s="65" t="b">
        <f>TEXT(导出!AH184,"#.00")=TEXT(计算!AH184, "#.00")</f>
        <v>1</v>
      </c>
      <c r="AI186">
        <v>0</v>
      </c>
      <c r="AJ186" s="3">
        <v>41912.6862847222</v>
      </c>
      <c r="AK186" s="2" t="s">
        <v>1777</v>
      </c>
    </row>
    <row r="187" spans="1:37" x14ac:dyDescent="0.15">
      <c r="A187" s="2" t="s">
        <v>1776</v>
      </c>
      <c r="B187">
        <v>295</v>
      </c>
      <c r="C187" s="3">
        <v>41821</v>
      </c>
      <c r="D187" s="2" t="s">
        <v>37</v>
      </c>
      <c r="E187" s="2" t="s">
        <v>1775</v>
      </c>
      <c r="F187" s="2" t="s">
        <v>41</v>
      </c>
      <c r="G187" s="2" t="s">
        <v>421</v>
      </c>
      <c r="H187" s="2" t="s">
        <v>422</v>
      </c>
      <c r="I187" s="65" t="b">
        <f>导出!I185=计算!I185</f>
        <v>1</v>
      </c>
      <c r="J187" s="65" t="b">
        <f>导出!J185=计算!J185</f>
        <v>1</v>
      </c>
      <c r="K187" s="65" t="b">
        <f>导出!K185=计算!K185</f>
        <v>1</v>
      </c>
      <c r="L187" s="65" t="b">
        <f>导出!L185=计算!L185</f>
        <v>1</v>
      </c>
      <c r="M187" s="65" t="b">
        <f>导出!M185=计算!M185</f>
        <v>1</v>
      </c>
      <c r="N187" s="65" t="b">
        <f>TEXT(导出!N185,"#.00")=TEXT(计算!N185, "#.00")</f>
        <v>1</v>
      </c>
      <c r="O187" s="65" t="b">
        <f>TEXT(导出!O185,"#.00")=TEXT(计算!O185, "#.00")</f>
        <v>1</v>
      </c>
      <c r="P187" s="65" t="b">
        <f>TEXT(导出!P185,"#.00")=TEXT(计算!P185, "#.00")</f>
        <v>1</v>
      </c>
      <c r="Q187" s="65" t="b">
        <f>TEXT(导出!Q185,"#.00")=TEXT(计算!Q185, "#.00")</f>
        <v>1</v>
      </c>
      <c r="R187" s="65" t="b">
        <f>TEXT(导出!R185,"#.00")=TEXT(计算!R185, "#.00")</f>
        <v>1</v>
      </c>
      <c r="S187" s="65" t="b">
        <f>TEXT(导出!S185,"#.00")=TEXT(计算!S185, "#.00")</f>
        <v>1</v>
      </c>
      <c r="T187" s="65" t="b">
        <f>TEXT(导出!T185,"#.00")=TEXT(计算!T185, "#.00")</f>
        <v>1</v>
      </c>
      <c r="U187" s="65" t="b">
        <f>TEXT(导出!U185,"#.00")=TEXT(计算!U185, "#.00")</f>
        <v>1</v>
      </c>
      <c r="V187" s="65" t="b">
        <f>TEXT(导出!V185,"#.00")=TEXT(计算!V185*100, "#.00")</f>
        <v>1</v>
      </c>
      <c r="W187" s="65" t="b">
        <f>TEXT(导出!W185,"#.00")=TEXT(计算!W185, "#.00")</f>
        <v>1</v>
      </c>
      <c r="X187" s="65" t="b">
        <f>TEXT(导出!X185,"#.00")=TEXT(计算!X185, "#.00")</f>
        <v>1</v>
      </c>
      <c r="Y187" s="65" t="b">
        <f>TEXT(导出!Y185,"#.00")=TEXT(计算!Y185, "#.00")</f>
        <v>1</v>
      </c>
      <c r="Z187" s="65" t="b">
        <f>TEXT(导出!Z185,"#.00")=TEXT(计算!Z185, "#.00")</f>
        <v>1</v>
      </c>
      <c r="AA187" s="65" t="b">
        <f>TEXT(导出!AA185,"#.00")=TEXT(计算!AA185*100, "#.00")</f>
        <v>1</v>
      </c>
      <c r="AB187" s="65" t="b">
        <f>TEXT(导出!AB185,"#.00")=TEXT(计算!AB185, "#.00")</f>
        <v>1</v>
      </c>
      <c r="AC187" s="65" t="b">
        <f>TEXT(导出!AC185,"#.00")=TEXT(计算!AC185, "#.00")</f>
        <v>1</v>
      </c>
      <c r="AD187" s="65" t="b">
        <f>TEXT(导出!AD185,"#.00")=TEXT(计算!AD185, "#.00")</f>
        <v>1</v>
      </c>
      <c r="AE187" s="65" t="b">
        <f>ABS(导出!AE185-计算!AE185)&lt;10</f>
        <v>1</v>
      </c>
      <c r="AF187" s="65" t="b">
        <f>TEXT(ABS(导出!AF185),"#.00")=TEXT(ABS(计算!AF185), "#.00")</f>
        <v>1</v>
      </c>
      <c r="AG187" s="65" t="b">
        <f>TEXT(导出!AG185,"#.00")=TEXT(计算!AG185, "#.00")</f>
        <v>1</v>
      </c>
      <c r="AH187" s="65" t="b">
        <f>TEXT(导出!AH185,"#.00")=TEXT(计算!AH185, "#.00")</f>
        <v>1</v>
      </c>
      <c r="AI187">
        <v>0</v>
      </c>
      <c r="AJ187" s="3">
        <v>41912.686249999999</v>
      </c>
      <c r="AK187" s="2" t="s">
        <v>1774</v>
      </c>
    </row>
    <row r="188" spans="1:37" x14ac:dyDescent="0.15">
      <c r="A188" s="2" t="s">
        <v>1773</v>
      </c>
      <c r="B188">
        <v>303</v>
      </c>
      <c r="C188" s="3">
        <v>41821</v>
      </c>
      <c r="D188" s="2" t="s">
        <v>37</v>
      </c>
      <c r="E188" s="2" t="s">
        <v>1772</v>
      </c>
      <c r="F188" s="2" t="s">
        <v>41</v>
      </c>
      <c r="G188" s="2" t="s">
        <v>419</v>
      </c>
      <c r="H188" s="2" t="s">
        <v>420</v>
      </c>
      <c r="I188" s="65" t="b">
        <f>导出!I186=计算!I186</f>
        <v>1</v>
      </c>
      <c r="J188" s="65" t="b">
        <f>导出!J186=计算!J186</f>
        <v>1</v>
      </c>
      <c r="K188" s="65" t="b">
        <f>导出!K186=计算!K186</f>
        <v>1</v>
      </c>
      <c r="L188" s="65" t="b">
        <f>导出!L186=计算!L186</f>
        <v>1</v>
      </c>
      <c r="M188" s="65" t="b">
        <f>导出!M186=计算!M186</f>
        <v>1</v>
      </c>
      <c r="N188" s="65" t="b">
        <f>TEXT(导出!N186,"#.00")=TEXT(计算!N186, "#.00")</f>
        <v>1</v>
      </c>
      <c r="O188" s="65" t="b">
        <f>TEXT(导出!O186,"#.00")=TEXT(计算!O186, "#.00")</f>
        <v>1</v>
      </c>
      <c r="P188" s="65" t="b">
        <f>TEXT(导出!P186,"#.00")=TEXT(计算!P186, "#.00")</f>
        <v>1</v>
      </c>
      <c r="Q188" s="65" t="b">
        <f>TEXT(导出!Q186,"#.00")=TEXT(计算!Q186, "#.00")</f>
        <v>1</v>
      </c>
      <c r="R188" s="65" t="b">
        <f>TEXT(导出!R186,"#.00")=TEXT(计算!R186, "#.00")</f>
        <v>1</v>
      </c>
      <c r="S188" s="65" t="b">
        <f>TEXT(导出!S186,"#.00")=TEXT(计算!S186, "#.00")</f>
        <v>1</v>
      </c>
      <c r="T188" s="65" t="b">
        <f>TEXT(导出!T186,"#.00")=TEXT(计算!T186, "#.00")</f>
        <v>1</v>
      </c>
      <c r="U188" s="65" t="b">
        <f>TEXT(导出!U186,"#.00")=TEXT(计算!U186, "#.00")</f>
        <v>1</v>
      </c>
      <c r="V188" s="65" t="b">
        <f>TEXT(导出!V186,"#.00")=TEXT(计算!V186*100, "#.00")</f>
        <v>1</v>
      </c>
      <c r="W188" s="65" t="b">
        <f>TEXT(导出!W186,"#.00")=TEXT(计算!W186, "#.00")</f>
        <v>1</v>
      </c>
      <c r="X188" s="65" t="b">
        <f>TEXT(导出!X186,"#.00")=TEXT(计算!X186, "#.00")</f>
        <v>1</v>
      </c>
      <c r="Y188" s="65" t="b">
        <f>TEXT(导出!Y186,"#.00")=TEXT(计算!Y186, "#.00")</f>
        <v>1</v>
      </c>
      <c r="Z188" s="65" t="b">
        <f>TEXT(导出!Z186,"#.00")=TEXT(计算!Z186, "#.00")</f>
        <v>1</v>
      </c>
      <c r="AA188" s="65" t="b">
        <f>TEXT(导出!AA186,"#.00")=TEXT(计算!AA186*100, "#.00")</f>
        <v>1</v>
      </c>
      <c r="AB188" s="65" t="b">
        <f>TEXT(导出!AB186,"#.00")=TEXT(计算!AB186, "#.00")</f>
        <v>1</v>
      </c>
      <c r="AC188" s="65" t="b">
        <f>TEXT(导出!AC186,"#.00")=TEXT(计算!AC186, "#.00")</f>
        <v>1</v>
      </c>
      <c r="AD188" s="65" t="b">
        <f>TEXT(导出!AD186,"#.00")=TEXT(计算!AD186, "#.00")</f>
        <v>1</v>
      </c>
      <c r="AE188" s="65" t="b">
        <f>ABS(导出!AE186-计算!AE186)&lt;10</f>
        <v>1</v>
      </c>
      <c r="AF188" s="65" t="b">
        <f>TEXT(ABS(导出!AF186),"#.00")=TEXT(ABS(计算!AF186), "#.00")</f>
        <v>1</v>
      </c>
      <c r="AG188" s="65" t="b">
        <f>TEXT(导出!AG186,"#.00")=TEXT(计算!AG186, "#.00")</f>
        <v>1</v>
      </c>
      <c r="AH188" s="65" t="b">
        <f>TEXT(导出!AH186,"#.00")=TEXT(计算!AH186, "#.00")</f>
        <v>1</v>
      </c>
      <c r="AI188">
        <v>0</v>
      </c>
      <c r="AJ188" s="3">
        <v>41912.686249999999</v>
      </c>
      <c r="AK188" s="2" t="s">
        <v>1771</v>
      </c>
    </row>
    <row r="189" spans="1:37" x14ac:dyDescent="0.15">
      <c r="A189" s="2" t="s">
        <v>1770</v>
      </c>
      <c r="B189">
        <v>1216</v>
      </c>
      <c r="C189" s="3">
        <v>41821</v>
      </c>
      <c r="D189" s="2" t="s">
        <v>37</v>
      </c>
      <c r="E189" s="2" t="s">
        <v>1769</v>
      </c>
      <c r="F189" s="2" t="s">
        <v>38</v>
      </c>
      <c r="G189" s="2" t="s">
        <v>397</v>
      </c>
      <c r="H189" s="2" t="s">
        <v>398</v>
      </c>
      <c r="I189" s="65" t="b">
        <f>导出!I187=计算!I187</f>
        <v>1</v>
      </c>
      <c r="J189" s="65" t="b">
        <f>导出!J187=计算!J187</f>
        <v>1</v>
      </c>
      <c r="K189" s="65" t="b">
        <f>导出!K187=计算!K187</f>
        <v>1</v>
      </c>
      <c r="L189" s="65" t="b">
        <f>导出!L187=计算!L187</f>
        <v>1</v>
      </c>
      <c r="M189" s="65" t="b">
        <f>导出!M187=计算!M187</f>
        <v>1</v>
      </c>
      <c r="N189" s="65" t="b">
        <f>TEXT(导出!N187,"#.00")=TEXT(计算!N187, "#.00")</f>
        <v>1</v>
      </c>
      <c r="O189" s="65" t="b">
        <f>TEXT(导出!O187,"#.00")=TEXT(计算!O187, "#.00")</f>
        <v>1</v>
      </c>
      <c r="P189" s="65" t="b">
        <f>TEXT(导出!P187,"#.00")=TEXT(计算!P187, "#.00")</f>
        <v>1</v>
      </c>
      <c r="Q189" s="65" t="b">
        <f>TEXT(导出!Q187,"#.00")=TEXT(计算!Q187, "#.00")</f>
        <v>1</v>
      </c>
      <c r="R189" s="65" t="b">
        <f>TEXT(导出!R187,"#.00")=TEXT(计算!R187, "#.00")</f>
        <v>1</v>
      </c>
      <c r="S189" s="65" t="b">
        <f>TEXT(导出!S187,"#.00")=TEXT(计算!S187, "#.00")</f>
        <v>1</v>
      </c>
      <c r="T189" s="65" t="b">
        <f>TEXT(导出!T187,"#.00")=TEXT(计算!T187, "#.00")</f>
        <v>1</v>
      </c>
      <c r="U189" s="65" t="b">
        <f>TEXT(导出!U187,"#.00")=TEXT(计算!U187, "#.00")</f>
        <v>1</v>
      </c>
      <c r="V189" s="65" t="b">
        <f>TEXT(导出!V187,"#.00")=TEXT(计算!V187*100, "#.00")</f>
        <v>1</v>
      </c>
      <c r="W189" s="65" t="b">
        <f>TEXT(导出!W187,"#.00")=TEXT(计算!W187, "#.00")</f>
        <v>1</v>
      </c>
      <c r="X189" s="65" t="b">
        <f>TEXT(导出!X187,"#.00")=TEXT(计算!X187, "#.00")</f>
        <v>1</v>
      </c>
      <c r="Y189" s="65" t="b">
        <f>TEXT(导出!Y187,"#.00")=TEXT(计算!Y187, "#.00")</f>
        <v>1</v>
      </c>
      <c r="Z189" s="65" t="b">
        <f>TEXT(导出!Z187,"#.00")=TEXT(计算!Z187, "#.00")</f>
        <v>1</v>
      </c>
      <c r="AA189" s="65" t="b">
        <f>TEXT(导出!AA187,"#.00")=TEXT(计算!AA187*100, "#.00")</f>
        <v>1</v>
      </c>
      <c r="AB189" s="65" t="b">
        <f>TEXT(导出!AB187,"#.00")=TEXT(计算!AB187, "#.00")</f>
        <v>1</v>
      </c>
      <c r="AC189" s="65" t="b">
        <f>TEXT(导出!AC187,"#.00")=TEXT(计算!AC187, "#.00")</f>
        <v>1</v>
      </c>
      <c r="AD189" s="65" t="b">
        <f>TEXT(导出!AD187,"#.00")=TEXT(计算!AD187, "#.00")</f>
        <v>1</v>
      </c>
      <c r="AE189" s="65" t="b">
        <f>ABS(导出!AE187-计算!AE187)&lt;10</f>
        <v>1</v>
      </c>
      <c r="AF189" s="65" t="b">
        <f>TEXT(ABS(导出!AF187),"#.00")=TEXT(ABS(计算!AF187), "#.00")</f>
        <v>1</v>
      </c>
      <c r="AG189" s="65" t="b">
        <f>TEXT(导出!AG187,"#.00")=TEXT(计算!AG187, "#.00")</f>
        <v>1</v>
      </c>
      <c r="AH189" s="65" t="b">
        <f>TEXT(导出!AH187,"#.00")=TEXT(计算!AH187, "#.00")</f>
        <v>1</v>
      </c>
      <c r="AI189">
        <v>0</v>
      </c>
      <c r="AJ189" s="3">
        <v>41912.6862847222</v>
      </c>
      <c r="AK189" s="2" t="s">
        <v>1768</v>
      </c>
    </row>
    <row r="190" spans="1:37" x14ac:dyDescent="0.15">
      <c r="A190" s="2" t="s">
        <v>1767</v>
      </c>
      <c r="B190">
        <v>308</v>
      </c>
      <c r="C190" s="3">
        <v>41821</v>
      </c>
      <c r="D190" s="2" t="s">
        <v>37</v>
      </c>
      <c r="E190" s="2" t="s">
        <v>1766</v>
      </c>
      <c r="F190" s="2" t="s">
        <v>41</v>
      </c>
      <c r="G190" s="2" t="s">
        <v>423</v>
      </c>
      <c r="H190" s="2" t="s">
        <v>424</v>
      </c>
      <c r="I190" s="65" t="b">
        <f>导出!I188=计算!I188</f>
        <v>1</v>
      </c>
      <c r="J190" s="65" t="b">
        <f>导出!J188=计算!J188</f>
        <v>1</v>
      </c>
      <c r="K190" s="65" t="b">
        <f>导出!K188=计算!K188</f>
        <v>1</v>
      </c>
      <c r="L190" s="65" t="b">
        <f>导出!L188=计算!L188</f>
        <v>1</v>
      </c>
      <c r="M190" s="65" t="b">
        <f>导出!M188=计算!M188</f>
        <v>1</v>
      </c>
      <c r="N190" s="65" t="b">
        <f>TEXT(导出!N188,"#.00")=TEXT(计算!N188, "#.00")</f>
        <v>1</v>
      </c>
      <c r="O190" s="65" t="b">
        <f>TEXT(导出!O188,"#.00")=TEXT(计算!O188, "#.00")</f>
        <v>1</v>
      </c>
      <c r="P190" s="65" t="b">
        <f>TEXT(导出!P188,"#.00")=TEXT(计算!P188, "#.00")</f>
        <v>1</v>
      </c>
      <c r="Q190" s="65" t="b">
        <f>TEXT(导出!Q188,"#.00")=TEXT(计算!Q188, "#.00")</f>
        <v>1</v>
      </c>
      <c r="R190" s="65" t="b">
        <f>TEXT(导出!R188,"#.00")=TEXT(计算!R188, "#.00")</f>
        <v>1</v>
      </c>
      <c r="S190" s="65" t="b">
        <f>TEXT(导出!S188,"#.00")=TEXT(计算!S188, "#.00")</f>
        <v>1</v>
      </c>
      <c r="T190" s="65" t="b">
        <f>TEXT(导出!T188,"#.00")=TEXT(计算!T188, "#.00")</f>
        <v>1</v>
      </c>
      <c r="U190" s="65" t="b">
        <f>TEXT(导出!U188,"#.00")=TEXT(计算!U188, "#.00")</f>
        <v>1</v>
      </c>
      <c r="V190" s="65" t="b">
        <f>TEXT(导出!V188,"#.00")=TEXT(计算!V188*100, "#.00")</f>
        <v>1</v>
      </c>
      <c r="W190" s="65" t="b">
        <f>TEXT(导出!W188,"#.00")=TEXT(计算!W188, "#.00")</f>
        <v>1</v>
      </c>
      <c r="X190" s="65" t="b">
        <f>TEXT(导出!X188,"#.00")=TEXT(计算!X188, "#.00")</f>
        <v>1</v>
      </c>
      <c r="Y190" s="65" t="b">
        <f>TEXT(导出!Y188,"#.00")=TEXT(计算!Y188, "#.00")</f>
        <v>1</v>
      </c>
      <c r="Z190" s="65" t="b">
        <f>TEXT(导出!Z188,"#.00")=TEXT(计算!Z188, "#.00")</f>
        <v>1</v>
      </c>
      <c r="AA190" s="65" t="b">
        <f>TEXT(导出!AA188,"#.00")=TEXT(计算!AA188*100, "#.00")</f>
        <v>1</v>
      </c>
      <c r="AB190" s="65" t="b">
        <f>TEXT(导出!AB188,"#.00")=TEXT(计算!AB188, "#.00")</f>
        <v>1</v>
      </c>
      <c r="AC190" s="65" t="b">
        <f>TEXT(导出!AC188,"#.00")=TEXT(计算!AC188, "#.00")</f>
        <v>1</v>
      </c>
      <c r="AD190" s="65" t="b">
        <f>TEXT(导出!AD188,"#.00")=TEXT(计算!AD188, "#.00")</f>
        <v>1</v>
      </c>
      <c r="AE190" s="65" t="b">
        <f>ABS(导出!AE188-计算!AE188)&lt;10</f>
        <v>1</v>
      </c>
      <c r="AF190" s="65" t="b">
        <f>TEXT(ABS(导出!AF188),"#.00")=TEXT(ABS(计算!AF188), "#.00")</f>
        <v>1</v>
      </c>
      <c r="AG190" s="65" t="b">
        <f>TEXT(导出!AG188,"#.00")=TEXT(计算!AG188, "#.00")</f>
        <v>1</v>
      </c>
      <c r="AH190" s="65" t="b">
        <f>TEXT(导出!AH188,"#.00")=TEXT(计算!AH188, "#.00")</f>
        <v>1</v>
      </c>
      <c r="AI190">
        <v>0</v>
      </c>
      <c r="AJ190" s="3">
        <v>41912.686249999999</v>
      </c>
      <c r="AK190" s="2" t="s">
        <v>1765</v>
      </c>
    </row>
    <row r="191" spans="1:37" x14ac:dyDescent="0.15">
      <c r="A191" s="2" t="s">
        <v>1764</v>
      </c>
      <c r="B191">
        <v>253</v>
      </c>
      <c r="C191" s="3">
        <v>41821</v>
      </c>
      <c r="D191" s="2" t="s">
        <v>37</v>
      </c>
      <c r="E191" s="2" t="s">
        <v>1763</v>
      </c>
      <c r="F191" s="2" t="s">
        <v>41</v>
      </c>
      <c r="G191" s="2" t="s">
        <v>427</v>
      </c>
      <c r="H191" s="2" t="s">
        <v>428</v>
      </c>
      <c r="I191" s="65" t="b">
        <f>导出!I189=计算!I189</f>
        <v>1</v>
      </c>
      <c r="J191" s="65" t="b">
        <f>导出!J189=计算!J189</f>
        <v>1</v>
      </c>
      <c r="K191" s="65" t="b">
        <f>导出!K189=计算!K189</f>
        <v>1</v>
      </c>
      <c r="L191" s="65" t="b">
        <f>导出!L189=计算!L189</f>
        <v>1</v>
      </c>
      <c r="M191" s="65" t="b">
        <f>导出!M189=计算!M189</f>
        <v>1</v>
      </c>
      <c r="N191" s="65" t="b">
        <f>TEXT(导出!N189,"#.00")=TEXT(计算!N189, "#.00")</f>
        <v>1</v>
      </c>
      <c r="O191" s="65" t="b">
        <f>TEXT(导出!O189,"#.00")=TEXT(计算!O189, "#.00")</f>
        <v>1</v>
      </c>
      <c r="P191" s="65" t="b">
        <f>TEXT(导出!P189,"#.00")=TEXT(计算!P189, "#.00")</f>
        <v>1</v>
      </c>
      <c r="Q191" s="65" t="b">
        <f>TEXT(导出!Q189,"#.00")=TEXT(计算!Q189, "#.00")</f>
        <v>1</v>
      </c>
      <c r="R191" s="65" t="b">
        <f>TEXT(导出!R189,"#.00")=TEXT(计算!R189, "#.00")</f>
        <v>1</v>
      </c>
      <c r="S191" s="65" t="b">
        <f>TEXT(导出!S189,"#.00")=TEXT(计算!S189, "#.00")</f>
        <v>1</v>
      </c>
      <c r="T191" s="65" t="b">
        <f>TEXT(导出!T189,"#.00")=TEXT(计算!T189, "#.00")</f>
        <v>1</v>
      </c>
      <c r="U191" s="65" t="b">
        <f>TEXT(导出!U189,"#.00")=TEXT(计算!U189, "#.00")</f>
        <v>1</v>
      </c>
      <c r="V191" s="65" t="b">
        <f>TEXT(导出!V189,"#.00")=TEXT(计算!V189*100, "#.00")</f>
        <v>1</v>
      </c>
      <c r="W191" s="65" t="b">
        <f>TEXT(导出!W189,"#.00")=TEXT(计算!W189, "#.00")</f>
        <v>1</v>
      </c>
      <c r="X191" s="65" t="b">
        <f>TEXT(导出!X189,"#.00")=TEXT(计算!X189, "#.00")</f>
        <v>1</v>
      </c>
      <c r="Y191" s="65" t="b">
        <f>TEXT(导出!Y189,"#.00")=TEXT(计算!Y189, "#.00")</f>
        <v>1</v>
      </c>
      <c r="Z191" s="65" t="b">
        <f>TEXT(导出!Z189,"#.00")=TEXT(计算!Z189, "#.00")</f>
        <v>1</v>
      </c>
      <c r="AA191" s="65" t="b">
        <f>TEXT(导出!AA189,"#.00")=TEXT(计算!AA189*100, "#.00")</f>
        <v>1</v>
      </c>
      <c r="AB191" s="65" t="b">
        <f>TEXT(导出!AB189,"#.00")=TEXT(计算!AB189, "#.00")</f>
        <v>1</v>
      </c>
      <c r="AC191" s="65" t="b">
        <f>TEXT(导出!AC189,"#.00")=TEXT(计算!AC189, "#.00")</f>
        <v>1</v>
      </c>
      <c r="AD191" s="65" t="b">
        <f>TEXT(导出!AD189,"#.00")=TEXT(计算!AD189, "#.00")</f>
        <v>1</v>
      </c>
      <c r="AE191" s="65" t="b">
        <f>ABS(导出!AE189-计算!AE189)&lt;10</f>
        <v>1</v>
      </c>
      <c r="AF191" s="65" t="b">
        <f>TEXT(ABS(导出!AF189),"#.00")=TEXT(ABS(计算!AF189), "#.00")</f>
        <v>1</v>
      </c>
      <c r="AG191" s="65" t="b">
        <f>TEXT(导出!AG189,"#.00")=TEXT(计算!AG189, "#.00")</f>
        <v>1</v>
      </c>
      <c r="AH191" s="65" t="b">
        <f>TEXT(导出!AH189,"#.00")=TEXT(计算!AH189, "#.00")</f>
        <v>1</v>
      </c>
      <c r="AI191">
        <v>0</v>
      </c>
      <c r="AJ191" s="3">
        <v>41912.6862384259</v>
      </c>
      <c r="AK191" s="2" t="s">
        <v>1762</v>
      </c>
    </row>
    <row r="192" spans="1:37" x14ac:dyDescent="0.15">
      <c r="A192" s="2" t="s">
        <v>1761</v>
      </c>
      <c r="B192">
        <v>244</v>
      </c>
      <c r="C192" s="3">
        <v>41821</v>
      </c>
      <c r="D192" s="2" t="s">
        <v>37</v>
      </c>
      <c r="E192" s="2" t="s">
        <v>1760</v>
      </c>
      <c r="F192" s="2" t="s">
        <v>41</v>
      </c>
      <c r="G192" s="2" t="s">
        <v>425</v>
      </c>
      <c r="H192" s="2" t="s">
        <v>426</v>
      </c>
      <c r="I192" s="65" t="b">
        <f>导出!I190=计算!I190</f>
        <v>1</v>
      </c>
      <c r="J192" s="65" t="b">
        <f>导出!J190=计算!J190</f>
        <v>1</v>
      </c>
      <c r="K192" s="65" t="b">
        <f>导出!K190=计算!K190</f>
        <v>1</v>
      </c>
      <c r="L192" s="65" t="b">
        <f>导出!L190=计算!L190</f>
        <v>1</v>
      </c>
      <c r="M192" s="65" t="b">
        <f>导出!M190=计算!M190</f>
        <v>1</v>
      </c>
      <c r="N192" s="65" t="b">
        <f>TEXT(导出!N190,"#.00")=TEXT(计算!N190, "#.00")</f>
        <v>1</v>
      </c>
      <c r="O192" s="65" t="b">
        <f>TEXT(导出!O190,"#.00")=TEXT(计算!O190, "#.00")</f>
        <v>1</v>
      </c>
      <c r="P192" s="65" t="b">
        <f>TEXT(导出!P190,"#.00")=TEXT(计算!P190, "#.00")</f>
        <v>1</v>
      </c>
      <c r="Q192" s="65" t="b">
        <f>TEXT(导出!Q190,"#.00")=TEXT(计算!Q190, "#.00")</f>
        <v>1</v>
      </c>
      <c r="R192" s="65" t="b">
        <f>TEXT(导出!R190,"#.00")=TEXT(计算!R190, "#.00")</f>
        <v>1</v>
      </c>
      <c r="S192" s="65" t="b">
        <f>TEXT(导出!S190,"#.00")=TEXT(计算!S190, "#.00")</f>
        <v>1</v>
      </c>
      <c r="T192" s="65" t="b">
        <f>TEXT(导出!T190,"#.00")=TEXT(计算!T190, "#.00")</f>
        <v>1</v>
      </c>
      <c r="U192" s="65" t="b">
        <f>TEXT(导出!U190,"#.00")=TEXT(计算!U190, "#.00")</f>
        <v>1</v>
      </c>
      <c r="V192" s="65" t="b">
        <f>TEXT(导出!V190,"#.00")=TEXT(计算!V190*100, "#.00")</f>
        <v>1</v>
      </c>
      <c r="W192" s="65" t="b">
        <f>TEXT(导出!W190,"#.00")=TEXT(计算!W190, "#.00")</f>
        <v>1</v>
      </c>
      <c r="X192" s="65" t="b">
        <f>TEXT(导出!X190,"#.00")=TEXT(计算!X190, "#.00")</f>
        <v>1</v>
      </c>
      <c r="Y192" s="65" t="b">
        <f>TEXT(导出!Y190,"#.00")=TEXT(计算!Y190, "#.00")</f>
        <v>1</v>
      </c>
      <c r="Z192" s="65" t="b">
        <f>TEXT(导出!Z190,"#.00")=TEXT(计算!Z190, "#.00")</f>
        <v>1</v>
      </c>
      <c r="AA192" s="65" t="b">
        <f>TEXT(导出!AA190,"#.00")=TEXT(计算!AA190*100, "#.00")</f>
        <v>1</v>
      </c>
      <c r="AB192" s="65" t="b">
        <f>TEXT(导出!AB190,"#.00")=TEXT(计算!AB190, "#.00")</f>
        <v>1</v>
      </c>
      <c r="AC192" s="65" t="b">
        <f>TEXT(导出!AC190,"#.00")=TEXT(计算!AC190, "#.00")</f>
        <v>1</v>
      </c>
      <c r="AD192" s="65" t="b">
        <f>TEXT(导出!AD190,"#.00")=TEXT(计算!AD190, "#.00")</f>
        <v>1</v>
      </c>
      <c r="AE192" s="65" t="b">
        <f>ABS(导出!AE190-计算!AE190)&lt;10</f>
        <v>1</v>
      </c>
      <c r="AF192" s="65" t="b">
        <f>TEXT(ABS(导出!AF190),"#.00")=TEXT(ABS(计算!AF190), "#.00")</f>
        <v>1</v>
      </c>
      <c r="AG192" s="65" t="b">
        <f>TEXT(导出!AG190,"#.00")=TEXT(计算!AG190, "#.00")</f>
        <v>1</v>
      </c>
      <c r="AH192" s="65" t="b">
        <f>TEXT(导出!AH190,"#.00")=TEXT(计算!AH190, "#.00")</f>
        <v>1</v>
      </c>
      <c r="AI192">
        <v>0</v>
      </c>
      <c r="AJ192" s="3">
        <v>41912.6862384259</v>
      </c>
      <c r="AK192" s="2" t="s">
        <v>1759</v>
      </c>
    </row>
    <row r="193" spans="1:37" x14ac:dyDescent="0.15">
      <c r="A193" s="2" t="s">
        <v>1758</v>
      </c>
      <c r="B193">
        <v>266</v>
      </c>
      <c r="C193" s="3">
        <v>41821</v>
      </c>
      <c r="D193" s="2" t="s">
        <v>37</v>
      </c>
      <c r="E193" s="2" t="s">
        <v>1757</v>
      </c>
      <c r="F193" s="2" t="s">
        <v>41</v>
      </c>
      <c r="G193" s="2" t="s">
        <v>429</v>
      </c>
      <c r="H193" s="2" t="s">
        <v>430</v>
      </c>
      <c r="I193" s="65" t="b">
        <f>导出!I191=计算!I191</f>
        <v>1</v>
      </c>
      <c r="J193" s="65" t="b">
        <f>导出!J191=计算!J191</f>
        <v>1</v>
      </c>
      <c r="K193" s="65" t="b">
        <f>导出!K191=计算!K191</f>
        <v>1</v>
      </c>
      <c r="L193" s="65" t="b">
        <f>导出!L191=计算!L191</f>
        <v>1</v>
      </c>
      <c r="M193" s="65" t="b">
        <f>导出!M191=计算!M191</f>
        <v>1</v>
      </c>
      <c r="N193" s="65" t="b">
        <f>TEXT(导出!N191,"#.00")=TEXT(计算!N191, "#.00")</f>
        <v>1</v>
      </c>
      <c r="O193" s="65" t="b">
        <f>TEXT(导出!O191,"#.00")=TEXT(计算!O191, "#.00")</f>
        <v>1</v>
      </c>
      <c r="P193" s="65" t="b">
        <f>TEXT(导出!P191,"#.00")=TEXT(计算!P191, "#.00")</f>
        <v>1</v>
      </c>
      <c r="Q193" s="65" t="b">
        <f>TEXT(导出!Q191,"#.00")=TEXT(计算!Q191, "#.00")</f>
        <v>1</v>
      </c>
      <c r="R193" s="65" t="b">
        <f>TEXT(导出!R191,"#.00")=TEXT(计算!R191, "#.00")</f>
        <v>1</v>
      </c>
      <c r="S193" s="65" t="b">
        <f>TEXT(导出!S191,"#.00")=TEXT(计算!S191, "#.00")</f>
        <v>1</v>
      </c>
      <c r="T193" s="65" t="b">
        <f>TEXT(导出!T191,"#.00")=TEXT(计算!T191, "#.00")</f>
        <v>1</v>
      </c>
      <c r="U193" s="65" t="b">
        <f>TEXT(导出!U191,"#.00")=TEXT(计算!U191, "#.00")</f>
        <v>1</v>
      </c>
      <c r="V193" s="65" t="b">
        <f>TEXT(导出!V191,"#.00")=TEXT(计算!V191*100, "#.00")</f>
        <v>1</v>
      </c>
      <c r="W193" s="65" t="b">
        <f>TEXT(导出!W191,"#.00")=TEXT(计算!W191, "#.00")</f>
        <v>1</v>
      </c>
      <c r="X193" s="65" t="b">
        <f>TEXT(导出!X191,"#.00")=TEXT(计算!X191, "#.00")</f>
        <v>1</v>
      </c>
      <c r="Y193" s="65" t="b">
        <f>TEXT(导出!Y191,"#.00")=TEXT(计算!Y191, "#.00")</f>
        <v>1</v>
      </c>
      <c r="Z193" s="65" t="b">
        <f>TEXT(导出!Z191,"#.00")=TEXT(计算!Z191, "#.00")</f>
        <v>1</v>
      </c>
      <c r="AA193" s="65" t="b">
        <f>TEXT(导出!AA191,"#.00")=TEXT(计算!AA191*100, "#.00")</f>
        <v>1</v>
      </c>
      <c r="AB193" s="65" t="b">
        <f>TEXT(导出!AB191,"#.00")=TEXT(计算!AB191, "#.00")</f>
        <v>1</v>
      </c>
      <c r="AC193" s="65" t="b">
        <f>TEXT(导出!AC191,"#.00")=TEXT(计算!AC191, "#.00")</f>
        <v>1</v>
      </c>
      <c r="AD193" s="65" t="b">
        <f>TEXT(导出!AD191,"#.00")=TEXT(计算!AD191, "#.00")</f>
        <v>1</v>
      </c>
      <c r="AE193" s="65" t="b">
        <f>ABS(导出!AE191-计算!AE191)&lt;10</f>
        <v>1</v>
      </c>
      <c r="AF193" s="65" t="b">
        <f>TEXT(ABS(导出!AF191),"#.00")=TEXT(ABS(计算!AF191), "#.00")</f>
        <v>1</v>
      </c>
      <c r="AG193" s="65" t="b">
        <f>TEXT(导出!AG191,"#.00")=TEXT(计算!AG191, "#.00")</f>
        <v>1</v>
      </c>
      <c r="AH193" s="65" t="b">
        <f>TEXT(导出!AH191,"#.00")=TEXT(计算!AH191, "#.00")</f>
        <v>1</v>
      </c>
      <c r="AI193">
        <v>0</v>
      </c>
      <c r="AJ193" s="3">
        <v>41912.686249999999</v>
      </c>
      <c r="AK193" s="2" t="s">
        <v>1756</v>
      </c>
    </row>
    <row r="194" spans="1:37" x14ac:dyDescent="0.15">
      <c r="A194" s="2" t="s">
        <v>1755</v>
      </c>
      <c r="B194">
        <v>275</v>
      </c>
      <c r="C194" s="3">
        <v>41821</v>
      </c>
      <c r="D194" s="2" t="s">
        <v>37</v>
      </c>
      <c r="E194" s="2" t="s">
        <v>1754</v>
      </c>
      <c r="F194" s="2" t="s">
        <v>41</v>
      </c>
      <c r="G194" s="2" t="s">
        <v>431</v>
      </c>
      <c r="H194" s="2" t="s">
        <v>432</v>
      </c>
      <c r="I194" s="65" t="b">
        <f>导出!I192=计算!I192</f>
        <v>1</v>
      </c>
      <c r="J194" s="65" t="b">
        <f>导出!J192=计算!J192</f>
        <v>1</v>
      </c>
      <c r="K194" s="65" t="b">
        <f>导出!K192=计算!K192</f>
        <v>1</v>
      </c>
      <c r="L194" s="65" t="b">
        <f>导出!L192=计算!L192</f>
        <v>1</v>
      </c>
      <c r="M194" s="65" t="b">
        <f>导出!M192=计算!M192</f>
        <v>1</v>
      </c>
      <c r="N194" s="65" t="b">
        <f>TEXT(导出!N192,"#.00")=TEXT(计算!N192, "#.00")</f>
        <v>1</v>
      </c>
      <c r="O194" s="65" t="b">
        <f>TEXT(导出!O192,"#.00")=TEXT(计算!O192, "#.00")</f>
        <v>1</v>
      </c>
      <c r="P194" s="65" t="b">
        <f>TEXT(导出!P192,"#.00")=TEXT(计算!P192, "#.00")</f>
        <v>1</v>
      </c>
      <c r="Q194" s="65" t="b">
        <f>TEXT(导出!Q192,"#.00")=TEXT(计算!Q192, "#.00")</f>
        <v>1</v>
      </c>
      <c r="R194" s="65" t="b">
        <f>TEXT(导出!R192,"#.00")=TEXT(计算!R192, "#.00")</f>
        <v>1</v>
      </c>
      <c r="S194" s="65" t="b">
        <f>TEXT(导出!S192,"#.00")=TEXT(计算!S192, "#.00")</f>
        <v>1</v>
      </c>
      <c r="T194" s="65" t="b">
        <f>TEXT(导出!T192,"#.00")=TEXT(计算!T192, "#.00")</f>
        <v>1</v>
      </c>
      <c r="U194" s="65" t="b">
        <f>TEXT(导出!U192,"#.00")=TEXT(计算!U192, "#.00")</f>
        <v>1</v>
      </c>
      <c r="V194" s="65" t="b">
        <f>TEXT(导出!V192,"#.00")=TEXT(计算!V192*100, "#.00")</f>
        <v>1</v>
      </c>
      <c r="W194" s="65" t="b">
        <f>TEXT(导出!W192,"#.00")=TEXT(计算!W192, "#.00")</f>
        <v>1</v>
      </c>
      <c r="X194" s="65" t="b">
        <f>TEXT(导出!X192,"#.00")=TEXT(计算!X192, "#.00")</f>
        <v>1</v>
      </c>
      <c r="Y194" s="65" t="b">
        <f>TEXT(导出!Y192,"#.00")=TEXT(计算!Y192, "#.00")</f>
        <v>1</v>
      </c>
      <c r="Z194" s="65" t="b">
        <f>TEXT(导出!Z192,"#.00")=TEXT(计算!Z192, "#.00")</f>
        <v>1</v>
      </c>
      <c r="AA194" s="65" t="b">
        <f>TEXT(导出!AA192,"#.00")=TEXT(计算!AA192*100, "#.00")</f>
        <v>1</v>
      </c>
      <c r="AB194" s="65" t="b">
        <f>TEXT(导出!AB192,"#.00")=TEXT(计算!AB192, "#.00")</f>
        <v>1</v>
      </c>
      <c r="AC194" s="65" t="b">
        <f>TEXT(导出!AC192,"#.00")=TEXT(计算!AC192, "#.00")</f>
        <v>1</v>
      </c>
      <c r="AD194" s="65" t="b">
        <f>TEXT(导出!AD192,"#.00")=TEXT(计算!AD192, "#.00")</f>
        <v>1</v>
      </c>
      <c r="AE194" s="65" t="b">
        <f>ABS(导出!AE192-计算!AE192)&lt;10</f>
        <v>1</v>
      </c>
      <c r="AF194" s="65" t="b">
        <f>TEXT(ABS(导出!AF192),"#.00")=TEXT(ABS(计算!AF192), "#.00")</f>
        <v>1</v>
      </c>
      <c r="AG194" s="65" t="b">
        <f>TEXT(导出!AG192,"#.00")=TEXT(计算!AG192, "#.00")</f>
        <v>1</v>
      </c>
      <c r="AH194" s="65" t="b">
        <f>TEXT(导出!AH192,"#.00")=TEXT(计算!AH192, "#.00")</f>
        <v>1</v>
      </c>
      <c r="AI194">
        <v>0</v>
      </c>
      <c r="AJ194" s="3">
        <v>41912.686249999999</v>
      </c>
      <c r="AK194" s="2" t="s">
        <v>1753</v>
      </c>
    </row>
    <row r="195" spans="1:37" x14ac:dyDescent="0.15">
      <c r="A195" s="2" t="s">
        <v>1752</v>
      </c>
      <c r="B195">
        <v>286</v>
      </c>
      <c r="C195" s="3">
        <v>41821</v>
      </c>
      <c r="D195" s="2" t="s">
        <v>37</v>
      </c>
      <c r="E195" s="2" t="s">
        <v>1751</v>
      </c>
      <c r="F195" s="2" t="s">
        <v>41</v>
      </c>
      <c r="G195" s="2" t="s">
        <v>435</v>
      </c>
      <c r="H195" s="2" t="s">
        <v>436</v>
      </c>
      <c r="I195" s="65" t="b">
        <f>导出!I193=计算!I193</f>
        <v>1</v>
      </c>
      <c r="J195" s="65" t="b">
        <f>导出!J193=计算!J193</f>
        <v>1</v>
      </c>
      <c r="K195" s="65" t="b">
        <f>导出!K193=计算!K193</f>
        <v>1</v>
      </c>
      <c r="L195" s="65" t="b">
        <f>导出!L193=计算!L193</f>
        <v>1</v>
      </c>
      <c r="M195" s="65" t="b">
        <f>导出!M193=计算!M193</f>
        <v>1</v>
      </c>
      <c r="N195" s="65" t="b">
        <f>TEXT(导出!N193,"#.00")=TEXT(计算!N193, "#.00")</f>
        <v>1</v>
      </c>
      <c r="O195" s="65" t="b">
        <f>TEXT(导出!O193,"#.00")=TEXT(计算!O193, "#.00")</f>
        <v>1</v>
      </c>
      <c r="P195" s="65" t="b">
        <f>TEXT(导出!P193,"#.00")=TEXT(计算!P193, "#.00")</f>
        <v>1</v>
      </c>
      <c r="Q195" s="65" t="b">
        <f>TEXT(导出!Q193,"#.00")=TEXT(计算!Q193, "#.00")</f>
        <v>1</v>
      </c>
      <c r="R195" s="65" t="b">
        <f>TEXT(导出!R193,"#.00")=TEXT(计算!R193, "#.00")</f>
        <v>1</v>
      </c>
      <c r="S195" s="65" t="b">
        <f>TEXT(导出!S193,"#.00")=TEXT(计算!S193, "#.00")</f>
        <v>1</v>
      </c>
      <c r="T195" s="65" t="b">
        <f>TEXT(导出!T193,"#.00")=TEXT(计算!T193, "#.00")</f>
        <v>1</v>
      </c>
      <c r="U195" s="65" t="b">
        <f>TEXT(导出!U193,"#.00")=TEXT(计算!U193, "#.00")</f>
        <v>1</v>
      </c>
      <c r="V195" s="65" t="b">
        <f>TEXT(导出!V193,"#.00")=TEXT(计算!V193*100, "#.00")</f>
        <v>1</v>
      </c>
      <c r="W195" s="65" t="b">
        <f>TEXT(导出!W193,"#.00")=TEXT(计算!W193, "#.00")</f>
        <v>1</v>
      </c>
      <c r="X195" s="65" t="b">
        <f>TEXT(导出!X193,"#.00")=TEXT(计算!X193, "#.00")</f>
        <v>1</v>
      </c>
      <c r="Y195" s="65" t="b">
        <f>TEXT(导出!Y193,"#.00")=TEXT(计算!Y193, "#.00")</f>
        <v>1</v>
      </c>
      <c r="Z195" s="65" t="b">
        <f>TEXT(导出!Z193,"#.00")=TEXT(计算!Z193, "#.00")</f>
        <v>1</v>
      </c>
      <c r="AA195" s="65" t="b">
        <f>TEXT(导出!AA193,"#.00")=TEXT(计算!AA193*100, "#.00")</f>
        <v>1</v>
      </c>
      <c r="AB195" s="65" t="b">
        <f>TEXT(导出!AB193,"#.00")=TEXT(计算!AB193, "#.00")</f>
        <v>1</v>
      </c>
      <c r="AC195" s="65" t="b">
        <f>TEXT(导出!AC193,"#.00")=TEXT(计算!AC193, "#.00")</f>
        <v>1</v>
      </c>
      <c r="AD195" s="65" t="b">
        <f>TEXT(导出!AD193,"#.00")=TEXT(计算!AD193, "#.00")</f>
        <v>1</v>
      </c>
      <c r="AE195" s="65" t="b">
        <f>ABS(导出!AE193-计算!AE193)&lt;10</f>
        <v>1</v>
      </c>
      <c r="AF195" s="65" t="b">
        <f>TEXT(ABS(导出!AF193),"#.00")=TEXT(ABS(计算!AF193), "#.00")</f>
        <v>1</v>
      </c>
      <c r="AG195" s="65" t="b">
        <f>TEXT(导出!AG193,"#.00")=TEXT(计算!AG193, "#.00")</f>
        <v>1</v>
      </c>
      <c r="AH195" s="65" t="b">
        <f>TEXT(导出!AH193,"#.00")=TEXT(计算!AH193, "#.00")</f>
        <v>1</v>
      </c>
      <c r="AI195">
        <v>0</v>
      </c>
      <c r="AJ195" s="3">
        <v>41912.686249999999</v>
      </c>
      <c r="AK195" s="2" t="s">
        <v>1750</v>
      </c>
    </row>
    <row r="196" spans="1:37" x14ac:dyDescent="0.15">
      <c r="A196" s="2" t="s">
        <v>1749</v>
      </c>
      <c r="B196">
        <v>280</v>
      </c>
      <c r="C196" s="3">
        <v>41821</v>
      </c>
      <c r="D196" s="2" t="s">
        <v>37</v>
      </c>
      <c r="E196" s="2" t="s">
        <v>1748</v>
      </c>
      <c r="F196" s="2" t="s">
        <v>41</v>
      </c>
      <c r="G196" s="2" t="s">
        <v>433</v>
      </c>
      <c r="H196" s="2" t="s">
        <v>434</v>
      </c>
      <c r="I196" s="65" t="b">
        <f>导出!I194=计算!I194</f>
        <v>1</v>
      </c>
      <c r="J196" s="65" t="b">
        <f>导出!J194=计算!J194</f>
        <v>1</v>
      </c>
      <c r="K196" s="65" t="b">
        <f>导出!K194=计算!K194</f>
        <v>1</v>
      </c>
      <c r="L196" s="65" t="b">
        <f>导出!L194=计算!L194</f>
        <v>1</v>
      </c>
      <c r="M196" s="65" t="b">
        <f>导出!M194=计算!M194</f>
        <v>1</v>
      </c>
      <c r="N196" s="65" t="b">
        <f>TEXT(导出!N194,"#.00")=TEXT(计算!N194, "#.00")</f>
        <v>1</v>
      </c>
      <c r="O196" s="65" t="b">
        <f>TEXT(导出!O194,"#.00")=TEXT(计算!O194, "#.00")</f>
        <v>1</v>
      </c>
      <c r="P196" s="65" t="b">
        <f>TEXT(导出!P194,"#.00")=TEXT(计算!P194, "#.00")</f>
        <v>1</v>
      </c>
      <c r="Q196" s="65" t="b">
        <f>TEXT(导出!Q194,"#.00")=TEXT(计算!Q194, "#.00")</f>
        <v>1</v>
      </c>
      <c r="R196" s="65" t="b">
        <f>TEXT(导出!R194,"#.00")=TEXT(计算!R194, "#.00")</f>
        <v>1</v>
      </c>
      <c r="S196" s="65" t="b">
        <f>TEXT(导出!S194,"#.00")=TEXT(计算!S194, "#.00")</f>
        <v>1</v>
      </c>
      <c r="T196" s="65" t="b">
        <f>TEXT(导出!T194,"#.00")=TEXT(计算!T194, "#.00")</f>
        <v>1</v>
      </c>
      <c r="U196" s="65" t="b">
        <f>TEXT(导出!U194,"#.00")=TEXT(计算!U194, "#.00")</f>
        <v>1</v>
      </c>
      <c r="V196" s="65" t="b">
        <f>TEXT(导出!V194,"#.00")=TEXT(计算!V194*100, "#.00")</f>
        <v>1</v>
      </c>
      <c r="W196" s="65" t="b">
        <f>TEXT(导出!W194,"#.00")=TEXT(计算!W194, "#.00")</f>
        <v>1</v>
      </c>
      <c r="X196" s="65" t="b">
        <f>TEXT(导出!X194,"#.00")=TEXT(计算!X194, "#.00")</f>
        <v>1</v>
      </c>
      <c r="Y196" s="65" t="b">
        <f>TEXT(导出!Y194,"#.00")=TEXT(计算!Y194, "#.00")</f>
        <v>1</v>
      </c>
      <c r="Z196" s="65" t="b">
        <f>TEXT(导出!Z194,"#.00")=TEXT(计算!Z194, "#.00")</f>
        <v>1</v>
      </c>
      <c r="AA196" s="65" t="b">
        <f>TEXT(导出!AA194,"#.00")=TEXT(计算!AA194*100, "#.00")</f>
        <v>1</v>
      </c>
      <c r="AB196" s="65" t="b">
        <f>TEXT(导出!AB194,"#.00")=TEXT(计算!AB194, "#.00")</f>
        <v>1</v>
      </c>
      <c r="AC196" s="65" t="b">
        <f>TEXT(导出!AC194,"#.00")=TEXT(计算!AC194, "#.00")</f>
        <v>1</v>
      </c>
      <c r="AD196" s="65" t="b">
        <f>TEXT(导出!AD194,"#.00")=TEXT(计算!AD194, "#.00")</f>
        <v>1</v>
      </c>
      <c r="AE196" s="65" t="b">
        <f>ABS(导出!AE194-计算!AE194)&lt;10</f>
        <v>1</v>
      </c>
      <c r="AF196" s="65" t="b">
        <f>TEXT(ABS(导出!AF194),"#.00")=TEXT(ABS(计算!AF194), "#.00")</f>
        <v>1</v>
      </c>
      <c r="AG196" s="65" t="b">
        <f>TEXT(导出!AG194,"#.00")=TEXT(计算!AG194, "#.00")</f>
        <v>1</v>
      </c>
      <c r="AH196" s="65" t="b">
        <f>TEXT(导出!AH194,"#.00")=TEXT(计算!AH194, "#.00")</f>
        <v>1</v>
      </c>
      <c r="AI196">
        <v>0</v>
      </c>
      <c r="AJ196" s="3">
        <v>41912.686249999999</v>
      </c>
      <c r="AK196" s="2" t="s">
        <v>1747</v>
      </c>
    </row>
    <row r="197" spans="1:37" x14ac:dyDescent="0.15">
      <c r="A197" s="2" t="s">
        <v>1746</v>
      </c>
      <c r="B197">
        <v>291</v>
      </c>
      <c r="C197" s="3">
        <v>41821</v>
      </c>
      <c r="D197" s="2" t="s">
        <v>37</v>
      </c>
      <c r="E197" s="2" t="s">
        <v>1745</v>
      </c>
      <c r="F197" s="2" t="s">
        <v>41</v>
      </c>
      <c r="G197" s="2" t="s">
        <v>439</v>
      </c>
      <c r="H197" s="2" t="s">
        <v>440</v>
      </c>
      <c r="I197" s="65" t="b">
        <f>导出!I195=计算!I195</f>
        <v>1</v>
      </c>
      <c r="J197" s="65" t="b">
        <f>导出!J195=计算!J195</f>
        <v>1</v>
      </c>
      <c r="K197" s="65" t="b">
        <f>导出!K195=计算!K195</f>
        <v>1</v>
      </c>
      <c r="L197" s="65" t="b">
        <f>导出!L195=计算!L195</f>
        <v>1</v>
      </c>
      <c r="M197" s="65" t="b">
        <f>导出!M195=计算!M195</f>
        <v>1</v>
      </c>
      <c r="N197" s="65" t="b">
        <f>TEXT(导出!N195,"#.00")=TEXT(计算!N195, "#.00")</f>
        <v>1</v>
      </c>
      <c r="O197" s="65" t="b">
        <f>TEXT(导出!O195,"#.00")=TEXT(计算!O195, "#.00")</f>
        <v>1</v>
      </c>
      <c r="P197" s="65" t="b">
        <f>TEXT(导出!P195,"#.00")=TEXT(计算!P195, "#.00")</f>
        <v>1</v>
      </c>
      <c r="Q197" s="65" t="b">
        <f>TEXT(导出!Q195,"#.00")=TEXT(计算!Q195, "#.00")</f>
        <v>1</v>
      </c>
      <c r="R197" s="65" t="b">
        <f>TEXT(导出!R195,"#.00")=TEXT(计算!R195, "#.00")</f>
        <v>1</v>
      </c>
      <c r="S197" s="65" t="b">
        <f>TEXT(导出!S195,"#.00")=TEXT(计算!S195, "#.00")</f>
        <v>1</v>
      </c>
      <c r="T197" s="65" t="b">
        <f>TEXT(导出!T195,"#.00")=TEXT(计算!T195, "#.00")</f>
        <v>1</v>
      </c>
      <c r="U197" s="65" t="b">
        <f>TEXT(导出!U195,"#.00")=TEXT(计算!U195, "#.00")</f>
        <v>1</v>
      </c>
      <c r="V197" s="65" t="b">
        <f>TEXT(导出!V195,"#.00")=TEXT(计算!V195*100, "#.00")</f>
        <v>1</v>
      </c>
      <c r="W197" s="65" t="b">
        <f>TEXT(导出!W195,"#.00")=TEXT(计算!W195, "#.00")</f>
        <v>1</v>
      </c>
      <c r="X197" s="65" t="b">
        <f>TEXT(导出!X195,"#.00")=TEXT(计算!X195, "#.00")</f>
        <v>1</v>
      </c>
      <c r="Y197" s="65" t="b">
        <f>TEXT(导出!Y195,"#.00")=TEXT(计算!Y195, "#.00")</f>
        <v>1</v>
      </c>
      <c r="Z197" s="65" t="b">
        <f>TEXT(导出!Z195,"#.00")=TEXT(计算!Z195, "#.00")</f>
        <v>1</v>
      </c>
      <c r="AA197" s="65" t="b">
        <f>TEXT(导出!AA195,"#.00")=TEXT(计算!AA195*100, "#.00")</f>
        <v>1</v>
      </c>
      <c r="AB197" s="65" t="b">
        <f>TEXT(导出!AB195,"#.00")=TEXT(计算!AB195, "#.00")</f>
        <v>1</v>
      </c>
      <c r="AC197" s="65" t="b">
        <f>TEXT(导出!AC195,"#.00")=TEXT(计算!AC195, "#.00")</f>
        <v>1</v>
      </c>
      <c r="AD197" s="65" t="b">
        <f>TEXT(导出!AD195,"#.00")=TEXT(计算!AD195, "#.00")</f>
        <v>1</v>
      </c>
      <c r="AE197" s="65" t="b">
        <f>ABS(导出!AE195-计算!AE195)&lt;10</f>
        <v>1</v>
      </c>
      <c r="AF197" s="65" t="b">
        <f>TEXT(ABS(导出!AF195),"#.00")=TEXT(ABS(计算!AF195), "#.00")</f>
        <v>1</v>
      </c>
      <c r="AG197" s="65" t="b">
        <f>TEXT(导出!AG195,"#.00")=TEXT(计算!AG195, "#.00")</f>
        <v>1</v>
      </c>
      <c r="AH197" s="65" t="b">
        <f>TEXT(导出!AH195,"#.00")=TEXT(计算!AH195, "#.00")</f>
        <v>1</v>
      </c>
      <c r="AI197">
        <v>0</v>
      </c>
      <c r="AJ197" s="3">
        <v>41912.686249999999</v>
      </c>
      <c r="AK197" s="2" t="s">
        <v>1744</v>
      </c>
    </row>
    <row r="198" spans="1:37" x14ac:dyDescent="0.15">
      <c r="A198" s="2" t="s">
        <v>1743</v>
      </c>
      <c r="B198">
        <v>296</v>
      </c>
      <c r="C198" s="3">
        <v>41821</v>
      </c>
      <c r="D198" s="2" t="s">
        <v>37</v>
      </c>
      <c r="E198" s="2" t="s">
        <v>1742</v>
      </c>
      <c r="F198" s="2" t="s">
        <v>41</v>
      </c>
      <c r="G198" s="2" t="s">
        <v>437</v>
      </c>
      <c r="H198" s="2" t="s">
        <v>438</v>
      </c>
      <c r="I198" s="65" t="b">
        <f>导出!I196=计算!I196</f>
        <v>1</v>
      </c>
      <c r="J198" s="65" t="b">
        <f>导出!J196=计算!J196</f>
        <v>1</v>
      </c>
      <c r="K198" s="65" t="b">
        <f>导出!K196=计算!K196</f>
        <v>1</v>
      </c>
      <c r="L198" s="65" t="b">
        <f>导出!L196=计算!L196</f>
        <v>1</v>
      </c>
      <c r="M198" s="65" t="b">
        <f>导出!M196=计算!M196</f>
        <v>1</v>
      </c>
      <c r="N198" s="65" t="b">
        <f>TEXT(导出!N196,"#.00")=TEXT(计算!N196, "#.00")</f>
        <v>1</v>
      </c>
      <c r="O198" s="65" t="b">
        <f>TEXT(导出!O196,"#.00")=TEXT(计算!O196, "#.00")</f>
        <v>1</v>
      </c>
      <c r="P198" s="65" t="b">
        <f>TEXT(导出!P196,"#.00")=TEXT(计算!P196, "#.00")</f>
        <v>1</v>
      </c>
      <c r="Q198" s="65" t="b">
        <f>TEXT(导出!Q196,"#.00")=TEXT(计算!Q196, "#.00")</f>
        <v>1</v>
      </c>
      <c r="R198" s="65" t="b">
        <f>TEXT(导出!R196,"#.00")=TEXT(计算!R196, "#.00")</f>
        <v>1</v>
      </c>
      <c r="S198" s="65" t="b">
        <f>TEXT(导出!S196,"#.00")=TEXT(计算!S196, "#.00")</f>
        <v>1</v>
      </c>
      <c r="T198" s="65" t="b">
        <f>TEXT(导出!T196,"#.00")=TEXT(计算!T196, "#.00")</f>
        <v>1</v>
      </c>
      <c r="U198" s="65" t="b">
        <f>TEXT(导出!U196,"#.00")=TEXT(计算!U196, "#.00")</f>
        <v>1</v>
      </c>
      <c r="V198" s="65" t="b">
        <f>TEXT(导出!V196,"#.00")=TEXT(计算!V196*100, "#.00")</f>
        <v>1</v>
      </c>
      <c r="W198" s="65" t="b">
        <f>TEXT(导出!W196,"#.00")=TEXT(计算!W196, "#.00")</f>
        <v>1</v>
      </c>
      <c r="X198" s="65" t="b">
        <f>TEXT(导出!X196,"#.00")=TEXT(计算!X196, "#.00")</f>
        <v>1</v>
      </c>
      <c r="Y198" s="65" t="b">
        <f>TEXT(导出!Y196,"#.00")=TEXT(计算!Y196, "#.00")</f>
        <v>1</v>
      </c>
      <c r="Z198" s="65" t="b">
        <f>TEXT(导出!Z196,"#.00")=TEXT(计算!Z196, "#.00")</f>
        <v>1</v>
      </c>
      <c r="AA198" s="65" t="b">
        <f>TEXT(导出!AA196,"#.00")=TEXT(计算!AA196*100, "#.00")</f>
        <v>1</v>
      </c>
      <c r="AB198" s="65" t="b">
        <f>TEXT(导出!AB196,"#.00")=TEXT(计算!AB196, "#.00")</f>
        <v>1</v>
      </c>
      <c r="AC198" s="65" t="b">
        <f>TEXT(导出!AC196,"#.00")=TEXT(计算!AC196, "#.00")</f>
        <v>1</v>
      </c>
      <c r="AD198" s="65" t="b">
        <f>TEXT(导出!AD196,"#.00")=TEXT(计算!AD196, "#.00")</f>
        <v>1</v>
      </c>
      <c r="AE198" s="65" t="b">
        <f>ABS(导出!AE196-计算!AE196)&lt;10</f>
        <v>1</v>
      </c>
      <c r="AF198" s="65" t="b">
        <f>TEXT(ABS(导出!AF196),"#.00")=TEXT(ABS(计算!AF196), "#.00")</f>
        <v>1</v>
      </c>
      <c r="AG198" s="65" t="b">
        <f>TEXT(导出!AG196,"#.00")=TEXT(计算!AG196, "#.00")</f>
        <v>1</v>
      </c>
      <c r="AH198" s="65" t="b">
        <f>TEXT(导出!AH196,"#.00")=TEXT(计算!AH196, "#.00")</f>
        <v>1</v>
      </c>
      <c r="AI198">
        <v>0</v>
      </c>
      <c r="AJ198" s="3">
        <v>41912.686249999999</v>
      </c>
      <c r="AK198" s="2" t="s">
        <v>1741</v>
      </c>
    </row>
    <row r="199" spans="1:37" x14ac:dyDescent="0.15">
      <c r="A199" s="2" t="s">
        <v>1740</v>
      </c>
      <c r="B199">
        <v>1212</v>
      </c>
      <c r="C199" s="3">
        <v>41821</v>
      </c>
      <c r="D199" s="2" t="s">
        <v>37</v>
      </c>
      <c r="E199" s="2" t="s">
        <v>1739</v>
      </c>
      <c r="F199" s="2" t="s">
        <v>38</v>
      </c>
      <c r="G199" s="2" t="s">
        <v>417</v>
      </c>
      <c r="H199" s="2" t="s">
        <v>418</v>
      </c>
      <c r="I199" s="65" t="b">
        <f>导出!I197=计算!I197</f>
        <v>1</v>
      </c>
      <c r="J199" s="65" t="b">
        <f>导出!J197=计算!J197</f>
        <v>1</v>
      </c>
      <c r="K199" s="65" t="b">
        <f>导出!K197=计算!K197</f>
        <v>1</v>
      </c>
      <c r="L199" s="65" t="b">
        <f>导出!L197=计算!L197</f>
        <v>1</v>
      </c>
      <c r="M199" s="65" t="b">
        <f>导出!M197=计算!M197</f>
        <v>1</v>
      </c>
      <c r="N199" s="65" t="b">
        <f>TEXT(导出!N197,"#.00")=TEXT(计算!N197, "#.00")</f>
        <v>1</v>
      </c>
      <c r="O199" s="65" t="b">
        <f>TEXT(导出!O197,"#.00")=TEXT(计算!O197, "#.00")</f>
        <v>1</v>
      </c>
      <c r="P199" s="65" t="b">
        <f>TEXT(导出!P197,"#.00")=TEXT(计算!P197, "#.00")</f>
        <v>1</v>
      </c>
      <c r="Q199" s="65" t="b">
        <f>TEXT(导出!Q197,"#.00")=TEXT(计算!Q197, "#.00")</f>
        <v>1</v>
      </c>
      <c r="R199" s="65" t="b">
        <f>TEXT(导出!R197,"#.00")=TEXT(计算!R197, "#.00")</f>
        <v>1</v>
      </c>
      <c r="S199" s="65" t="b">
        <f>TEXT(导出!S197,"#.00")=TEXT(计算!S197, "#.00")</f>
        <v>1</v>
      </c>
      <c r="T199" s="65" t="b">
        <f>TEXT(导出!T197,"#.00")=TEXT(计算!T197, "#.00")</f>
        <v>1</v>
      </c>
      <c r="U199" s="65" t="b">
        <f>TEXT(导出!U197,"#.00")=TEXT(计算!U197, "#.00")</f>
        <v>1</v>
      </c>
      <c r="V199" s="65" t="b">
        <f>TEXT(导出!V197,"#.00")=TEXT(计算!V197*100, "#.00")</f>
        <v>1</v>
      </c>
      <c r="W199" s="65" t="b">
        <f>TEXT(导出!W197,"#.00")=TEXT(计算!W197, "#.00")</f>
        <v>1</v>
      </c>
      <c r="X199" s="65" t="b">
        <f>TEXT(导出!X197,"#.00")=TEXT(计算!X197, "#.00")</f>
        <v>1</v>
      </c>
      <c r="Y199" s="65" t="b">
        <f>TEXT(导出!Y197,"#.00")=TEXT(计算!Y197, "#.00")</f>
        <v>1</v>
      </c>
      <c r="Z199" s="65" t="b">
        <f>TEXT(导出!Z197,"#.00")=TEXT(计算!Z197, "#.00")</f>
        <v>1</v>
      </c>
      <c r="AA199" s="65" t="b">
        <f>TEXT(导出!AA197,"#.00")=TEXT(计算!AA197*100, "#.00")</f>
        <v>1</v>
      </c>
      <c r="AB199" s="65" t="b">
        <f>TEXT(导出!AB197,"#.00")=TEXT(计算!AB197, "#.00")</f>
        <v>1</v>
      </c>
      <c r="AC199" s="65" t="b">
        <f>TEXT(导出!AC197,"#.00")=TEXT(计算!AC197, "#.00")</f>
        <v>1</v>
      </c>
      <c r="AD199" s="65" t="b">
        <f>TEXT(导出!AD197,"#.00")=TEXT(计算!AD197, "#.00")</f>
        <v>1</v>
      </c>
      <c r="AE199" s="65" t="b">
        <f>ABS(导出!AE197-计算!AE197)&lt;10</f>
        <v>1</v>
      </c>
      <c r="AF199" s="65" t="b">
        <f>TEXT(ABS(导出!AF197),"#.00")=TEXT(ABS(计算!AF197), "#.00")</f>
        <v>1</v>
      </c>
      <c r="AG199" s="65" t="b">
        <f>TEXT(导出!AG197,"#.00")=TEXT(计算!AG197, "#.00")</f>
        <v>1</v>
      </c>
      <c r="AH199" s="65" t="b">
        <f>TEXT(导出!AH197,"#.00")=TEXT(计算!AH197, "#.00")</f>
        <v>1</v>
      </c>
      <c r="AI199">
        <v>0</v>
      </c>
      <c r="AJ199" s="3">
        <v>41912.6862847222</v>
      </c>
      <c r="AK199" s="2" t="s">
        <v>1738</v>
      </c>
    </row>
    <row r="200" spans="1:37" x14ac:dyDescent="0.15">
      <c r="A200" s="2" t="s">
        <v>1737</v>
      </c>
      <c r="B200">
        <v>304</v>
      </c>
      <c r="C200" s="3">
        <v>41821</v>
      </c>
      <c r="D200" s="2" t="s">
        <v>37</v>
      </c>
      <c r="E200" s="2" t="s">
        <v>1736</v>
      </c>
      <c r="F200" s="2" t="s">
        <v>41</v>
      </c>
      <c r="G200" s="2" t="s">
        <v>443</v>
      </c>
      <c r="H200" s="2" t="s">
        <v>444</v>
      </c>
      <c r="I200" s="65" t="b">
        <f>导出!I198=计算!I198</f>
        <v>1</v>
      </c>
      <c r="J200" s="65" t="b">
        <f>导出!J198=计算!J198</f>
        <v>1</v>
      </c>
      <c r="K200" s="65" t="b">
        <f>导出!K198=计算!K198</f>
        <v>1</v>
      </c>
      <c r="L200" s="65" t="b">
        <f>导出!L198=计算!L198</f>
        <v>1</v>
      </c>
      <c r="M200" s="65" t="b">
        <f>导出!M198=计算!M198</f>
        <v>1</v>
      </c>
      <c r="N200" s="65" t="b">
        <f>TEXT(导出!N198,"#.00")=TEXT(计算!N198, "#.00")</f>
        <v>1</v>
      </c>
      <c r="O200" s="65" t="b">
        <f>TEXT(导出!O198,"#.00")=TEXT(计算!O198, "#.00")</f>
        <v>1</v>
      </c>
      <c r="P200" s="65" t="b">
        <f>TEXT(导出!P198,"#.00")=TEXT(计算!P198, "#.00")</f>
        <v>1</v>
      </c>
      <c r="Q200" s="65" t="b">
        <f>TEXT(导出!Q198,"#.00")=TEXT(计算!Q198, "#.00")</f>
        <v>1</v>
      </c>
      <c r="R200" s="65" t="b">
        <f>TEXT(导出!R198,"#.00")=TEXT(计算!R198, "#.00")</f>
        <v>1</v>
      </c>
      <c r="S200" s="65" t="b">
        <f>TEXT(导出!S198,"#.00")=TEXT(计算!S198, "#.00")</f>
        <v>1</v>
      </c>
      <c r="T200" s="65" t="b">
        <f>TEXT(导出!T198,"#.00")=TEXT(计算!T198, "#.00")</f>
        <v>1</v>
      </c>
      <c r="U200" s="65" t="b">
        <f>TEXT(导出!U198,"#.00")=TEXT(计算!U198, "#.00")</f>
        <v>1</v>
      </c>
      <c r="V200" s="65" t="b">
        <f>TEXT(导出!V198,"#.00")=TEXT(计算!V198*100, "#.00")</f>
        <v>1</v>
      </c>
      <c r="W200" s="65" t="b">
        <f>TEXT(导出!W198,"#.00")=TEXT(计算!W198, "#.00")</f>
        <v>1</v>
      </c>
      <c r="X200" s="65" t="b">
        <f>TEXT(导出!X198,"#.00")=TEXT(计算!X198, "#.00")</f>
        <v>1</v>
      </c>
      <c r="Y200" s="65" t="b">
        <f>TEXT(导出!Y198,"#.00")=TEXT(计算!Y198, "#.00")</f>
        <v>1</v>
      </c>
      <c r="Z200" s="65" t="b">
        <f>TEXT(导出!Z198,"#.00")=TEXT(计算!Z198, "#.00")</f>
        <v>1</v>
      </c>
      <c r="AA200" s="65" t="b">
        <f>TEXT(导出!AA198,"#.00")=TEXT(计算!AA198*100, "#.00")</f>
        <v>1</v>
      </c>
      <c r="AB200" s="65" t="b">
        <f>TEXT(导出!AB198,"#.00")=TEXT(计算!AB198, "#.00")</f>
        <v>1</v>
      </c>
      <c r="AC200" s="65" t="b">
        <f>TEXT(导出!AC198,"#.00")=TEXT(计算!AC198, "#.00")</f>
        <v>1</v>
      </c>
      <c r="AD200" s="65" t="b">
        <f>TEXT(导出!AD198,"#.00")=TEXT(计算!AD198, "#.00")</f>
        <v>1</v>
      </c>
      <c r="AE200" s="65" t="b">
        <f>ABS(导出!AE198-计算!AE198)&lt;10</f>
        <v>1</v>
      </c>
      <c r="AF200" s="65" t="b">
        <f>TEXT(ABS(导出!AF198),"#.00")=TEXT(ABS(计算!AF198), "#.00")</f>
        <v>1</v>
      </c>
      <c r="AG200" s="65" t="b">
        <f>TEXT(导出!AG198,"#.00")=TEXT(计算!AG198, "#.00")</f>
        <v>1</v>
      </c>
      <c r="AH200" s="65" t="b">
        <f>TEXT(导出!AH198,"#.00")=TEXT(计算!AH198, "#.00")</f>
        <v>1</v>
      </c>
      <c r="AI200">
        <v>0</v>
      </c>
      <c r="AJ200" s="3">
        <v>41912.686249999999</v>
      </c>
      <c r="AK200" s="2" t="s">
        <v>1735</v>
      </c>
    </row>
    <row r="201" spans="1:37" x14ac:dyDescent="0.15">
      <c r="A201" s="2" t="s">
        <v>1734</v>
      </c>
      <c r="B201">
        <v>309</v>
      </c>
      <c r="C201" s="3">
        <v>41821</v>
      </c>
      <c r="D201" s="2" t="s">
        <v>37</v>
      </c>
      <c r="E201" s="2" t="s">
        <v>1733</v>
      </c>
      <c r="F201" s="2" t="s">
        <v>41</v>
      </c>
      <c r="G201" s="2" t="s">
        <v>445</v>
      </c>
      <c r="H201" s="2" t="s">
        <v>446</v>
      </c>
      <c r="I201" s="65" t="b">
        <f>导出!I199=计算!I199</f>
        <v>1</v>
      </c>
      <c r="J201" s="65" t="b">
        <f>导出!J199=计算!J199</f>
        <v>1</v>
      </c>
      <c r="K201" s="65" t="b">
        <f>导出!K199=计算!K199</f>
        <v>1</v>
      </c>
      <c r="L201" s="65" t="b">
        <f>导出!L199=计算!L199</f>
        <v>1</v>
      </c>
      <c r="M201" s="65" t="b">
        <f>导出!M199=计算!M199</f>
        <v>1</v>
      </c>
      <c r="N201" s="65" t="b">
        <f>TEXT(导出!N199,"#.00")=TEXT(计算!N199, "#.00")</f>
        <v>1</v>
      </c>
      <c r="O201" s="65" t="b">
        <f>TEXT(导出!O199,"#.00")=TEXT(计算!O199, "#.00")</f>
        <v>1</v>
      </c>
      <c r="P201" s="65" t="b">
        <f>TEXT(导出!P199,"#.00")=TEXT(计算!P199, "#.00")</f>
        <v>1</v>
      </c>
      <c r="Q201" s="65" t="b">
        <f>TEXT(导出!Q199,"#.00")=TEXT(计算!Q199, "#.00")</f>
        <v>1</v>
      </c>
      <c r="R201" s="65" t="b">
        <f>TEXT(导出!R199,"#.00")=TEXT(计算!R199, "#.00")</f>
        <v>1</v>
      </c>
      <c r="S201" s="65" t="b">
        <f>TEXT(导出!S199,"#.00")=TEXT(计算!S199, "#.00")</f>
        <v>1</v>
      </c>
      <c r="T201" s="65" t="b">
        <f>TEXT(导出!T199,"#.00")=TEXT(计算!T199, "#.00")</f>
        <v>1</v>
      </c>
      <c r="U201" s="65" t="b">
        <f>TEXT(导出!U199,"#.00")=TEXT(计算!U199, "#.00")</f>
        <v>1</v>
      </c>
      <c r="V201" s="65" t="b">
        <f>TEXT(导出!V199,"#.00")=TEXT(计算!V199*100, "#.00")</f>
        <v>1</v>
      </c>
      <c r="W201" s="65" t="b">
        <f>TEXT(导出!W199,"#.00")=TEXT(计算!W199, "#.00")</f>
        <v>1</v>
      </c>
      <c r="X201" s="65" t="b">
        <f>TEXT(导出!X199,"#.00")=TEXT(计算!X199, "#.00")</f>
        <v>1</v>
      </c>
      <c r="Y201" s="65" t="b">
        <f>TEXT(导出!Y199,"#.00")=TEXT(计算!Y199, "#.00")</f>
        <v>1</v>
      </c>
      <c r="Z201" s="65" t="b">
        <f>TEXT(导出!Z199,"#.00")=TEXT(计算!Z199, "#.00")</f>
        <v>1</v>
      </c>
      <c r="AA201" s="65" t="b">
        <f>TEXT(导出!AA199,"#.00")=TEXT(计算!AA199*100, "#.00")</f>
        <v>1</v>
      </c>
      <c r="AB201" s="65" t="b">
        <f>TEXT(导出!AB199,"#.00")=TEXT(计算!AB199, "#.00")</f>
        <v>1</v>
      </c>
      <c r="AC201" s="65" t="b">
        <f>TEXT(导出!AC199,"#.00")=TEXT(计算!AC199, "#.00")</f>
        <v>1</v>
      </c>
      <c r="AD201" s="65" t="b">
        <f>TEXT(导出!AD199,"#.00")=TEXT(计算!AD199, "#.00")</f>
        <v>1</v>
      </c>
      <c r="AE201" s="65" t="b">
        <f>ABS(导出!AE199-计算!AE199)&lt;10</f>
        <v>1</v>
      </c>
      <c r="AF201" s="65" t="b">
        <f>TEXT(ABS(导出!AF199),"#.00")=TEXT(ABS(计算!AF199), "#.00")</f>
        <v>1</v>
      </c>
      <c r="AG201" s="65" t="b">
        <f>TEXT(导出!AG199,"#.00")=TEXT(计算!AG199, "#.00")</f>
        <v>1</v>
      </c>
      <c r="AH201" s="65" t="b">
        <f>TEXT(导出!AH199,"#.00")=TEXT(计算!AH199, "#.00")</f>
        <v>1</v>
      </c>
      <c r="AI201">
        <v>0</v>
      </c>
      <c r="AJ201" s="3">
        <v>41912.686249999999</v>
      </c>
      <c r="AK201" s="2" t="s">
        <v>1732</v>
      </c>
    </row>
    <row r="202" spans="1:37" x14ac:dyDescent="0.15">
      <c r="A202" s="2" t="s">
        <v>1731</v>
      </c>
      <c r="B202">
        <v>237</v>
      </c>
      <c r="C202" s="3">
        <v>41821</v>
      </c>
      <c r="D202" s="2" t="s">
        <v>37</v>
      </c>
      <c r="E202" s="2" t="s">
        <v>1730</v>
      </c>
      <c r="F202" s="2" t="s">
        <v>41</v>
      </c>
      <c r="G202" s="2" t="s">
        <v>449</v>
      </c>
      <c r="H202" s="2" t="s">
        <v>450</v>
      </c>
      <c r="I202" s="65" t="b">
        <f>导出!I200=计算!I200</f>
        <v>1</v>
      </c>
      <c r="J202" s="65" t="b">
        <f>导出!J200=计算!J200</f>
        <v>1</v>
      </c>
      <c r="K202" s="65" t="b">
        <f>导出!K200=计算!K200</f>
        <v>1</v>
      </c>
      <c r="L202" s="65" t="b">
        <f>导出!L200=计算!L200</f>
        <v>1</v>
      </c>
      <c r="M202" s="65" t="b">
        <f>导出!M200=计算!M200</f>
        <v>1</v>
      </c>
      <c r="N202" s="65" t="b">
        <f>TEXT(导出!N200,"#.00")=TEXT(计算!N200, "#.00")</f>
        <v>1</v>
      </c>
      <c r="O202" s="65" t="b">
        <f>TEXT(导出!O200,"#.00")=TEXT(计算!O200, "#.00")</f>
        <v>1</v>
      </c>
      <c r="P202" s="65" t="b">
        <f>TEXT(导出!P200,"#.00")=TEXT(计算!P200, "#.00")</f>
        <v>1</v>
      </c>
      <c r="Q202" s="65" t="b">
        <f>TEXT(导出!Q200,"#.00")=TEXT(计算!Q200, "#.00")</f>
        <v>1</v>
      </c>
      <c r="R202" s="65" t="b">
        <f>TEXT(导出!R200,"#.00")=TEXT(计算!R200, "#.00")</f>
        <v>1</v>
      </c>
      <c r="S202" s="65" t="b">
        <f>TEXT(导出!S200,"#.00")=TEXT(计算!S200, "#.00")</f>
        <v>1</v>
      </c>
      <c r="T202" s="65" t="b">
        <f>TEXT(导出!T200,"#.00")=TEXT(计算!T200, "#.00")</f>
        <v>1</v>
      </c>
      <c r="U202" s="65" t="b">
        <f>TEXT(导出!U200,"#.00")=TEXT(计算!U200, "#.00")</f>
        <v>1</v>
      </c>
      <c r="V202" s="65" t="b">
        <f>TEXT(导出!V200,"#.00")=TEXT(计算!V200*100, "#.00")</f>
        <v>1</v>
      </c>
      <c r="W202" s="65" t="b">
        <f>TEXT(导出!W200,"#.00")=TEXT(计算!W200, "#.00")</f>
        <v>1</v>
      </c>
      <c r="X202" s="65" t="b">
        <f>TEXT(导出!X200,"#.00")=TEXT(计算!X200, "#.00")</f>
        <v>1</v>
      </c>
      <c r="Y202" s="65" t="b">
        <f>TEXT(导出!Y200,"#.00")=TEXT(计算!Y200, "#.00")</f>
        <v>1</v>
      </c>
      <c r="Z202" s="65" t="b">
        <f>TEXT(导出!Z200,"#.00")=TEXT(计算!Z200, "#.00")</f>
        <v>1</v>
      </c>
      <c r="AA202" s="65" t="b">
        <f>TEXT(导出!AA200,"#.00")=TEXT(计算!AA200*100, "#.00")</f>
        <v>1</v>
      </c>
      <c r="AB202" s="65" t="b">
        <f>TEXT(导出!AB200,"#.00")=TEXT(计算!AB200, "#.00")</f>
        <v>1</v>
      </c>
      <c r="AC202" s="65" t="b">
        <f>TEXT(导出!AC200,"#.00")=TEXT(计算!AC200, "#.00")</f>
        <v>1</v>
      </c>
      <c r="AD202" s="65" t="b">
        <f>TEXT(导出!AD200,"#.00")=TEXT(计算!AD200, "#.00")</f>
        <v>1</v>
      </c>
      <c r="AE202" s="65" t="b">
        <f>ABS(导出!AE200-计算!AE200)&lt;10</f>
        <v>1</v>
      </c>
      <c r="AF202" s="65" t="b">
        <f>TEXT(ABS(导出!AF200),"#.00")=TEXT(ABS(计算!AF200), "#.00")</f>
        <v>1</v>
      </c>
      <c r="AG202" s="65" t="b">
        <f>TEXT(导出!AG200,"#.00")=TEXT(计算!AG200, "#.00")</f>
        <v>1</v>
      </c>
      <c r="AH202" s="65" t="b">
        <f>TEXT(导出!AH200,"#.00")=TEXT(计算!AH200, "#.00")</f>
        <v>1</v>
      </c>
      <c r="AI202">
        <v>0</v>
      </c>
      <c r="AJ202" s="3">
        <v>41912.6862384259</v>
      </c>
      <c r="AK202" s="2" t="s">
        <v>1729</v>
      </c>
    </row>
    <row r="203" spans="1:37" x14ac:dyDescent="0.15">
      <c r="A203" s="2" t="s">
        <v>1728</v>
      </c>
      <c r="B203">
        <v>258</v>
      </c>
      <c r="C203" s="3">
        <v>41821</v>
      </c>
      <c r="D203" s="2" t="s">
        <v>37</v>
      </c>
      <c r="E203" s="2" t="s">
        <v>1727</v>
      </c>
      <c r="F203" s="2" t="s">
        <v>41</v>
      </c>
      <c r="G203" s="2" t="s">
        <v>451</v>
      </c>
      <c r="H203" s="2" t="s">
        <v>452</v>
      </c>
      <c r="I203" s="65" t="b">
        <f>导出!I201=计算!I201</f>
        <v>1</v>
      </c>
      <c r="J203" s="65" t="b">
        <f>导出!J201=计算!J201</f>
        <v>1</v>
      </c>
      <c r="K203" s="65" t="b">
        <f>导出!K201=计算!K201</f>
        <v>1</v>
      </c>
      <c r="L203" s="65" t="b">
        <f>导出!L201=计算!L201</f>
        <v>1</v>
      </c>
      <c r="M203" s="65" t="b">
        <f>导出!M201=计算!M201</f>
        <v>1</v>
      </c>
      <c r="N203" s="65" t="b">
        <f>TEXT(导出!N201,"#.00")=TEXT(计算!N201, "#.00")</f>
        <v>1</v>
      </c>
      <c r="O203" s="65" t="b">
        <f>TEXT(导出!O201,"#.00")=TEXT(计算!O201, "#.00")</f>
        <v>1</v>
      </c>
      <c r="P203" s="65" t="b">
        <f>TEXT(导出!P201,"#.00")=TEXT(计算!P201, "#.00")</f>
        <v>1</v>
      </c>
      <c r="Q203" s="65" t="b">
        <f>TEXT(导出!Q201,"#.00")=TEXT(计算!Q201, "#.00")</f>
        <v>1</v>
      </c>
      <c r="R203" s="65" t="b">
        <f>TEXT(导出!R201,"#.00")=TEXT(计算!R201, "#.00")</f>
        <v>1</v>
      </c>
      <c r="S203" s="65" t="b">
        <f>TEXT(导出!S201,"#.00")=TEXT(计算!S201, "#.00")</f>
        <v>1</v>
      </c>
      <c r="T203" s="65" t="b">
        <f>TEXT(导出!T201,"#.00")=TEXT(计算!T201, "#.00")</f>
        <v>1</v>
      </c>
      <c r="U203" s="65" t="b">
        <f>TEXT(导出!U201,"#.00")=TEXT(计算!U201, "#.00")</f>
        <v>1</v>
      </c>
      <c r="V203" s="65" t="b">
        <f>TEXT(导出!V201,"#.00")=TEXT(计算!V201*100, "#.00")</f>
        <v>1</v>
      </c>
      <c r="W203" s="65" t="b">
        <f>TEXT(导出!W201,"#.00")=TEXT(计算!W201, "#.00")</f>
        <v>1</v>
      </c>
      <c r="X203" s="65" t="b">
        <f>TEXT(导出!X201,"#.00")=TEXT(计算!X201, "#.00")</f>
        <v>1</v>
      </c>
      <c r="Y203" s="65" t="b">
        <f>TEXT(导出!Y201,"#.00")=TEXT(计算!Y201, "#.00")</f>
        <v>1</v>
      </c>
      <c r="Z203" s="65" t="b">
        <f>TEXT(导出!Z201,"#.00")=TEXT(计算!Z201, "#.00")</f>
        <v>1</v>
      </c>
      <c r="AA203" s="65" t="b">
        <f>TEXT(导出!AA201,"#.00")=TEXT(计算!AA201*100, "#.00")</f>
        <v>1</v>
      </c>
      <c r="AB203" s="65" t="b">
        <f>TEXT(导出!AB201,"#.00")=TEXT(计算!AB201, "#.00")</f>
        <v>1</v>
      </c>
      <c r="AC203" s="65" t="b">
        <f>TEXT(导出!AC201,"#.00")=TEXT(计算!AC201, "#.00")</f>
        <v>1</v>
      </c>
      <c r="AD203" s="65" t="b">
        <f>TEXT(导出!AD201,"#.00")=TEXT(计算!AD201, "#.00")</f>
        <v>1</v>
      </c>
      <c r="AE203" s="65" t="b">
        <f>ABS(导出!AE201-计算!AE201)&lt;10</f>
        <v>0</v>
      </c>
      <c r="AF203" s="65" t="b">
        <f>TEXT(ABS(导出!AF201),"#.00")=TEXT(ABS(计算!AF201), "#.00")</f>
        <v>1</v>
      </c>
      <c r="AG203" s="65" t="b">
        <f>TEXT(导出!AG201,"#.00")=TEXT(计算!AG201, "#.00")</f>
        <v>1</v>
      </c>
      <c r="AH203" s="65" t="b">
        <f>TEXT(导出!AH201,"#.00")=TEXT(计算!AH201, "#.00")</f>
        <v>1</v>
      </c>
      <c r="AI203">
        <v>0</v>
      </c>
      <c r="AJ203" s="3">
        <v>41912.6862384259</v>
      </c>
      <c r="AK203" s="2" t="s">
        <v>1726</v>
      </c>
    </row>
    <row r="204" spans="1:37" x14ac:dyDescent="0.15">
      <c r="A204" s="2" t="s">
        <v>1725</v>
      </c>
      <c r="B204">
        <v>248</v>
      </c>
      <c r="C204" s="3">
        <v>41821</v>
      </c>
      <c r="D204" s="2" t="s">
        <v>37</v>
      </c>
      <c r="E204" s="2" t="s">
        <v>1724</v>
      </c>
      <c r="F204" s="2" t="s">
        <v>41</v>
      </c>
      <c r="G204" s="2" t="s">
        <v>447</v>
      </c>
      <c r="H204" s="2" t="s">
        <v>448</v>
      </c>
      <c r="I204" s="65" t="b">
        <f>导出!I202=计算!I202</f>
        <v>1</v>
      </c>
      <c r="J204" s="65" t="b">
        <f>导出!J202=计算!J202</f>
        <v>1</v>
      </c>
      <c r="K204" s="65" t="b">
        <f>导出!K202=计算!K202</f>
        <v>1</v>
      </c>
      <c r="L204" s="65" t="b">
        <f>导出!L202=计算!L202</f>
        <v>1</v>
      </c>
      <c r="M204" s="65" t="b">
        <f>导出!M202=计算!M202</f>
        <v>1</v>
      </c>
      <c r="N204" s="65" t="b">
        <f>TEXT(导出!N202,"#.00")=TEXT(计算!N202, "#.00")</f>
        <v>1</v>
      </c>
      <c r="O204" s="65" t="b">
        <f>TEXT(导出!O202,"#.00")=TEXT(计算!O202, "#.00")</f>
        <v>1</v>
      </c>
      <c r="P204" s="65" t="b">
        <f>TEXT(导出!P202,"#.00")=TEXT(计算!P202, "#.00")</f>
        <v>1</v>
      </c>
      <c r="Q204" s="65" t="b">
        <f>TEXT(导出!Q202,"#.00")=TEXT(计算!Q202, "#.00")</f>
        <v>1</v>
      </c>
      <c r="R204" s="65" t="b">
        <f>TEXT(导出!R202,"#.00")=TEXT(计算!R202, "#.00")</f>
        <v>1</v>
      </c>
      <c r="S204" s="65" t="b">
        <f>TEXT(导出!S202,"#.00")=TEXT(计算!S202, "#.00")</f>
        <v>1</v>
      </c>
      <c r="T204" s="65" t="b">
        <f>TEXT(导出!T202,"#.00")=TEXT(计算!T202, "#.00")</f>
        <v>1</v>
      </c>
      <c r="U204" s="65" t="b">
        <f>TEXT(导出!U202,"#.00")=TEXT(计算!U202, "#.00")</f>
        <v>1</v>
      </c>
      <c r="V204" s="65" t="b">
        <f>TEXT(导出!V202,"#.00")=TEXT(计算!V202*100, "#.00")</f>
        <v>1</v>
      </c>
      <c r="W204" s="65" t="b">
        <f>TEXT(导出!W202,"#.00")=TEXT(计算!W202, "#.00")</f>
        <v>1</v>
      </c>
      <c r="X204" s="65" t="b">
        <f>TEXT(导出!X202,"#.00")=TEXT(计算!X202, "#.00")</f>
        <v>1</v>
      </c>
      <c r="Y204" s="65" t="b">
        <f>TEXT(导出!Y202,"#.00")=TEXT(计算!Y202, "#.00")</f>
        <v>1</v>
      </c>
      <c r="Z204" s="65" t="b">
        <f>TEXT(导出!Z202,"#.00")=TEXT(计算!Z202, "#.00")</f>
        <v>1</v>
      </c>
      <c r="AA204" s="65" t="b">
        <f>TEXT(导出!AA202,"#.00")=TEXT(计算!AA202*100, "#.00")</f>
        <v>1</v>
      </c>
      <c r="AB204" s="65" t="b">
        <f>TEXT(导出!AB202,"#.00")=TEXT(计算!AB202, "#.00")</f>
        <v>1</v>
      </c>
      <c r="AC204" s="65" t="b">
        <f>TEXT(导出!AC202,"#.00")=TEXT(计算!AC202, "#.00")</f>
        <v>1</v>
      </c>
      <c r="AD204" s="65" t="b">
        <f>TEXT(导出!AD202,"#.00")=TEXT(计算!AD202, "#.00")</f>
        <v>1</v>
      </c>
      <c r="AE204" s="65" t="b">
        <f>ABS(导出!AE202-计算!AE202)&lt;10</f>
        <v>1</v>
      </c>
      <c r="AF204" s="65" t="b">
        <f>TEXT(ABS(导出!AF202),"#.00")=TEXT(ABS(计算!AF202), "#.00")</f>
        <v>1</v>
      </c>
      <c r="AG204" s="65" t="b">
        <f>TEXT(导出!AG202,"#.00")=TEXT(计算!AG202, "#.00")</f>
        <v>1</v>
      </c>
      <c r="AH204" s="65" t="b">
        <f>TEXT(导出!AH202,"#.00")=TEXT(计算!AH202, "#.00")</f>
        <v>1</v>
      </c>
      <c r="AI204">
        <v>0</v>
      </c>
      <c r="AJ204" s="3">
        <v>41912.6862384259</v>
      </c>
      <c r="AK204" s="2" t="s">
        <v>1723</v>
      </c>
    </row>
    <row r="205" spans="1:37" x14ac:dyDescent="0.15">
      <c r="A205" s="2" t="s">
        <v>1722</v>
      </c>
      <c r="B205">
        <v>267</v>
      </c>
      <c r="C205" s="3">
        <v>41821</v>
      </c>
      <c r="D205" s="2" t="s">
        <v>37</v>
      </c>
      <c r="E205" s="2" t="s">
        <v>1721</v>
      </c>
      <c r="F205" s="2" t="s">
        <v>41</v>
      </c>
      <c r="G205" s="2" t="s">
        <v>453</v>
      </c>
      <c r="H205" s="2" t="s">
        <v>454</v>
      </c>
      <c r="I205" s="65" t="b">
        <f>导出!I203=计算!I203</f>
        <v>1</v>
      </c>
      <c r="J205" s="65" t="b">
        <f>导出!J203=计算!J203</f>
        <v>1</v>
      </c>
      <c r="K205" s="65" t="b">
        <f>导出!K203=计算!K203</f>
        <v>1</v>
      </c>
      <c r="L205" s="65" t="b">
        <f>导出!L203=计算!L203</f>
        <v>1</v>
      </c>
      <c r="M205" s="65" t="b">
        <f>导出!M203=计算!M203</f>
        <v>1</v>
      </c>
      <c r="N205" s="65" t="b">
        <f>TEXT(导出!N203,"#.00")=TEXT(计算!N203, "#.00")</f>
        <v>1</v>
      </c>
      <c r="O205" s="65" t="b">
        <f>TEXT(导出!O203,"#.00")=TEXT(计算!O203, "#.00")</f>
        <v>1</v>
      </c>
      <c r="P205" s="65" t="b">
        <f>TEXT(导出!P203,"#.00")=TEXT(计算!P203, "#.00")</f>
        <v>1</v>
      </c>
      <c r="Q205" s="65" t="b">
        <f>TEXT(导出!Q203,"#.00")=TEXT(计算!Q203, "#.00")</f>
        <v>1</v>
      </c>
      <c r="R205" s="65" t="b">
        <f>TEXT(导出!R203,"#.00")=TEXT(计算!R203, "#.00")</f>
        <v>1</v>
      </c>
      <c r="S205" s="65" t="b">
        <f>TEXT(导出!S203,"#.00")=TEXT(计算!S203, "#.00")</f>
        <v>1</v>
      </c>
      <c r="T205" s="65" t="b">
        <f>TEXT(导出!T203,"#.00")=TEXT(计算!T203, "#.00")</f>
        <v>1</v>
      </c>
      <c r="U205" s="65" t="b">
        <f>TEXT(导出!U203,"#.00")=TEXT(计算!U203, "#.00")</f>
        <v>1</v>
      </c>
      <c r="V205" s="65" t="b">
        <f>TEXT(导出!V203,"#.00")=TEXT(计算!V203*100, "#.00")</f>
        <v>1</v>
      </c>
      <c r="W205" s="65" t="b">
        <f>TEXT(导出!W203,"#.00")=TEXT(计算!W203, "#.00")</f>
        <v>1</v>
      </c>
      <c r="X205" s="65" t="b">
        <f>TEXT(导出!X203,"#.00")=TEXT(计算!X203, "#.00")</f>
        <v>1</v>
      </c>
      <c r="Y205" s="65" t="b">
        <f>TEXT(导出!Y203,"#.00")=TEXT(计算!Y203, "#.00")</f>
        <v>1</v>
      </c>
      <c r="Z205" s="65" t="b">
        <f>TEXT(导出!Z203,"#.00")=TEXT(计算!Z203, "#.00")</f>
        <v>1</v>
      </c>
      <c r="AA205" s="65" t="b">
        <f>TEXT(导出!AA203,"#.00")=TEXT(计算!AA203*100, "#.00")</f>
        <v>1</v>
      </c>
      <c r="AB205" s="65" t="b">
        <f>TEXT(导出!AB203,"#.00")=TEXT(计算!AB203, "#.00")</f>
        <v>1</v>
      </c>
      <c r="AC205" s="65" t="b">
        <f>TEXT(导出!AC203,"#.00")=TEXT(计算!AC203, "#.00")</f>
        <v>1</v>
      </c>
      <c r="AD205" s="65" t="b">
        <f>TEXT(导出!AD203,"#.00")=TEXT(计算!AD203, "#.00")</f>
        <v>1</v>
      </c>
      <c r="AE205" s="65" t="b">
        <f>ABS(导出!AE203-计算!AE203)&lt;10</f>
        <v>1</v>
      </c>
      <c r="AF205" s="65" t="b">
        <f>TEXT(ABS(导出!AF203),"#.00")=TEXT(ABS(计算!AF203), "#.00")</f>
        <v>1</v>
      </c>
      <c r="AG205" s="65" t="b">
        <f>TEXT(导出!AG203,"#.00")=TEXT(计算!AG203, "#.00")</f>
        <v>1</v>
      </c>
      <c r="AH205" s="65" t="b">
        <f>TEXT(导出!AH203,"#.00")=TEXT(计算!AH203, "#.00")</f>
        <v>1</v>
      </c>
      <c r="AI205">
        <v>0</v>
      </c>
      <c r="AJ205" s="3">
        <v>41912.686249999999</v>
      </c>
      <c r="AK205" s="2" t="s">
        <v>1720</v>
      </c>
    </row>
    <row r="206" spans="1:37" x14ac:dyDescent="0.15">
      <c r="A206" s="2" t="s">
        <v>1719</v>
      </c>
      <c r="B206">
        <v>276</v>
      </c>
      <c r="C206" s="3">
        <v>41821</v>
      </c>
      <c r="D206" s="2" t="s">
        <v>37</v>
      </c>
      <c r="E206" s="2" t="s">
        <v>1718</v>
      </c>
      <c r="F206" s="2" t="s">
        <v>41</v>
      </c>
      <c r="G206" s="2" t="s">
        <v>455</v>
      </c>
      <c r="H206" s="2" t="s">
        <v>456</v>
      </c>
      <c r="I206" s="65" t="b">
        <f>导出!I204=计算!I204</f>
        <v>1</v>
      </c>
      <c r="J206" s="65" t="b">
        <f>导出!J204=计算!J204</f>
        <v>1</v>
      </c>
      <c r="K206" s="65" t="b">
        <f>导出!K204=计算!K204</f>
        <v>1</v>
      </c>
      <c r="L206" s="65" t="b">
        <f>导出!L204=计算!L204</f>
        <v>1</v>
      </c>
      <c r="M206" s="65" t="b">
        <f>导出!M204=计算!M204</f>
        <v>1</v>
      </c>
      <c r="N206" s="65" t="b">
        <f>TEXT(导出!N204,"#.00")=TEXT(计算!N204, "#.00")</f>
        <v>1</v>
      </c>
      <c r="O206" s="65" t="b">
        <f>TEXT(导出!O204,"#.00")=TEXT(计算!O204, "#.00")</f>
        <v>1</v>
      </c>
      <c r="P206" s="65" t="b">
        <f>TEXT(导出!P204,"#.00")=TEXT(计算!P204, "#.00")</f>
        <v>1</v>
      </c>
      <c r="Q206" s="65" t="b">
        <f>TEXT(导出!Q204,"#.00")=TEXT(计算!Q204, "#.00")</f>
        <v>1</v>
      </c>
      <c r="R206" s="65" t="b">
        <f>TEXT(导出!R204,"#.00")=TEXT(计算!R204, "#.00")</f>
        <v>1</v>
      </c>
      <c r="S206" s="65" t="b">
        <f>TEXT(导出!S204,"#.00")=TEXT(计算!S204, "#.00")</f>
        <v>1</v>
      </c>
      <c r="T206" s="65" t="b">
        <f>TEXT(导出!T204,"#.00")=TEXT(计算!T204, "#.00")</f>
        <v>1</v>
      </c>
      <c r="U206" s="65" t="b">
        <f>TEXT(导出!U204,"#.00")=TEXT(计算!U204, "#.00")</f>
        <v>1</v>
      </c>
      <c r="V206" s="65" t="b">
        <f>TEXT(导出!V204,"#.00")=TEXT(计算!V204*100, "#.00")</f>
        <v>1</v>
      </c>
      <c r="W206" s="65" t="b">
        <f>TEXT(导出!W204,"#.00")=TEXT(计算!W204, "#.00")</f>
        <v>1</v>
      </c>
      <c r="X206" s="65" t="b">
        <f>TEXT(导出!X204,"#.00")=TEXT(计算!X204, "#.00")</f>
        <v>1</v>
      </c>
      <c r="Y206" s="65" t="b">
        <f>TEXT(导出!Y204,"#.00")=TEXT(计算!Y204, "#.00")</f>
        <v>1</v>
      </c>
      <c r="Z206" s="65" t="b">
        <f>TEXT(导出!Z204,"#.00")=TEXT(计算!Z204, "#.00")</f>
        <v>1</v>
      </c>
      <c r="AA206" s="65" t="b">
        <f>TEXT(导出!AA204,"#.00")=TEXT(计算!AA204*100, "#.00")</f>
        <v>1</v>
      </c>
      <c r="AB206" s="65" t="b">
        <f>TEXT(导出!AB204,"#.00")=TEXT(计算!AB204, "#.00")</f>
        <v>1</v>
      </c>
      <c r="AC206" s="65" t="b">
        <f>TEXT(导出!AC204,"#.00")=TEXT(计算!AC204, "#.00")</f>
        <v>1</v>
      </c>
      <c r="AD206" s="65" t="b">
        <f>TEXT(导出!AD204,"#.00")=TEXT(计算!AD204, "#.00")</f>
        <v>1</v>
      </c>
      <c r="AE206" s="65" t="b">
        <f>ABS(导出!AE204-计算!AE204)&lt;10</f>
        <v>1</v>
      </c>
      <c r="AF206" s="65" t="b">
        <f>TEXT(ABS(导出!AF204),"#.00")=TEXT(ABS(计算!AF204), "#.00")</f>
        <v>1</v>
      </c>
      <c r="AG206" s="65" t="b">
        <f>TEXT(导出!AG204,"#.00")=TEXT(计算!AG204, "#.00")</f>
        <v>1</v>
      </c>
      <c r="AH206" s="65" t="b">
        <f>TEXT(导出!AH204,"#.00")=TEXT(计算!AH204, "#.00")</f>
        <v>1</v>
      </c>
      <c r="AI206">
        <v>0</v>
      </c>
      <c r="AJ206" s="3">
        <v>41912.686249999999</v>
      </c>
      <c r="AK206" s="2" t="s">
        <v>1717</v>
      </c>
    </row>
    <row r="207" spans="1:37" x14ac:dyDescent="0.15">
      <c r="A207" s="2" t="s">
        <v>1716</v>
      </c>
      <c r="B207">
        <v>287</v>
      </c>
      <c r="C207" s="3">
        <v>41821</v>
      </c>
      <c r="D207" s="2" t="s">
        <v>37</v>
      </c>
      <c r="E207" s="2" t="s">
        <v>1715</v>
      </c>
      <c r="F207" s="2" t="s">
        <v>41</v>
      </c>
      <c r="G207" s="2" t="s">
        <v>391</v>
      </c>
      <c r="H207" s="2" t="s">
        <v>392</v>
      </c>
      <c r="I207" s="65" t="b">
        <f>导出!I205=计算!I205</f>
        <v>1</v>
      </c>
      <c r="J207" s="65" t="b">
        <f>导出!J205=计算!J205</f>
        <v>1</v>
      </c>
      <c r="K207" s="65" t="b">
        <f>导出!K205=计算!K205</f>
        <v>1</v>
      </c>
      <c r="L207" s="65" t="b">
        <f>导出!L205=计算!L205</f>
        <v>1</v>
      </c>
      <c r="M207" s="65" t="b">
        <f>导出!M205=计算!M205</f>
        <v>1</v>
      </c>
      <c r="N207" s="65" t="b">
        <f>TEXT(导出!N205,"#.00")=TEXT(计算!N205, "#.00")</f>
        <v>1</v>
      </c>
      <c r="O207" s="65" t="b">
        <f>TEXT(导出!O205,"#.00")=TEXT(计算!O205, "#.00")</f>
        <v>1</v>
      </c>
      <c r="P207" s="65" t="b">
        <f>TEXT(导出!P205,"#.00")=TEXT(计算!P205, "#.00")</f>
        <v>1</v>
      </c>
      <c r="Q207" s="65" t="b">
        <f>TEXT(导出!Q205,"#.00")=TEXT(计算!Q205, "#.00")</f>
        <v>1</v>
      </c>
      <c r="R207" s="65" t="b">
        <f>TEXT(导出!R205,"#.00")=TEXT(计算!R205, "#.00")</f>
        <v>1</v>
      </c>
      <c r="S207" s="65" t="b">
        <f>TEXT(导出!S205,"#.00")=TEXT(计算!S205, "#.00")</f>
        <v>1</v>
      </c>
      <c r="T207" s="65" t="b">
        <f>TEXT(导出!T205,"#.00")=TEXT(计算!T205, "#.00")</f>
        <v>1</v>
      </c>
      <c r="U207" s="65" t="b">
        <f>TEXT(导出!U205,"#.00")=TEXT(计算!U205, "#.00")</f>
        <v>1</v>
      </c>
      <c r="V207" s="65" t="b">
        <f>TEXT(导出!V205,"#.00")=TEXT(计算!V205*100, "#.00")</f>
        <v>1</v>
      </c>
      <c r="W207" s="65" t="b">
        <f>TEXT(导出!W205,"#.00")=TEXT(计算!W205, "#.00")</f>
        <v>1</v>
      </c>
      <c r="X207" s="65" t="b">
        <f>TEXT(导出!X205,"#.00")=TEXT(计算!X205, "#.00")</f>
        <v>1</v>
      </c>
      <c r="Y207" s="65" t="b">
        <f>TEXT(导出!Y205,"#.00")=TEXT(计算!Y205, "#.00")</f>
        <v>1</v>
      </c>
      <c r="Z207" s="65" t="b">
        <f>TEXT(导出!Z205,"#.00")=TEXT(计算!Z205, "#.00")</f>
        <v>1</v>
      </c>
      <c r="AA207" s="65" t="b">
        <f>TEXT(导出!AA205,"#.00")=TEXT(计算!AA205*100, "#.00")</f>
        <v>1</v>
      </c>
      <c r="AB207" s="65" t="b">
        <f>TEXT(导出!AB205,"#.00")=TEXT(计算!AB205, "#.00")</f>
        <v>1</v>
      </c>
      <c r="AC207" s="65" t="b">
        <f>TEXT(导出!AC205,"#.00")=TEXT(计算!AC205, "#.00")</f>
        <v>1</v>
      </c>
      <c r="AD207" s="65" t="b">
        <f>TEXT(导出!AD205,"#.00")=TEXT(计算!AD205, "#.00")</f>
        <v>1</v>
      </c>
      <c r="AE207" s="65" t="b">
        <f>ABS(导出!AE205-计算!AE205)&lt;10</f>
        <v>1</v>
      </c>
      <c r="AF207" s="65" t="b">
        <f>TEXT(ABS(导出!AF205),"#.00")=TEXT(ABS(计算!AF205), "#.00")</f>
        <v>1</v>
      </c>
      <c r="AG207" s="65" t="b">
        <f>TEXT(导出!AG205,"#.00")=TEXT(计算!AG205, "#.00")</f>
        <v>1</v>
      </c>
      <c r="AH207" s="65" t="b">
        <f>TEXT(导出!AH205,"#.00")=TEXT(计算!AH205, "#.00")</f>
        <v>1</v>
      </c>
      <c r="AI207">
        <v>0</v>
      </c>
      <c r="AJ207" s="3">
        <v>41912.686249999999</v>
      </c>
      <c r="AK207" s="2" t="s">
        <v>1714</v>
      </c>
    </row>
    <row r="208" spans="1:37" x14ac:dyDescent="0.15">
      <c r="A208" s="2" t="s">
        <v>1713</v>
      </c>
      <c r="B208">
        <v>281</v>
      </c>
      <c r="C208" s="3">
        <v>41821</v>
      </c>
      <c r="D208" s="2" t="s">
        <v>37</v>
      </c>
      <c r="E208" s="2" t="s">
        <v>1712</v>
      </c>
      <c r="F208" s="2" t="s">
        <v>41</v>
      </c>
      <c r="G208" s="2" t="s">
        <v>457</v>
      </c>
      <c r="H208" s="2" t="s">
        <v>458</v>
      </c>
      <c r="I208" s="65" t="b">
        <f>导出!I206=计算!I206</f>
        <v>1</v>
      </c>
      <c r="J208" s="65" t="b">
        <f>导出!J206=计算!J206</f>
        <v>1</v>
      </c>
      <c r="K208" s="65" t="b">
        <f>导出!K206=计算!K206</f>
        <v>1</v>
      </c>
      <c r="L208" s="65" t="b">
        <f>导出!L206=计算!L206</f>
        <v>1</v>
      </c>
      <c r="M208" s="65" t="b">
        <f>导出!M206=计算!M206</f>
        <v>1</v>
      </c>
      <c r="N208" s="65" t="b">
        <f>TEXT(导出!N206,"#.00")=TEXT(计算!N206, "#.00")</f>
        <v>1</v>
      </c>
      <c r="O208" s="65" t="b">
        <f>TEXT(导出!O206,"#.00")=TEXT(计算!O206, "#.00")</f>
        <v>1</v>
      </c>
      <c r="P208" s="65" t="b">
        <f>TEXT(导出!P206,"#.00")=TEXT(计算!P206, "#.00")</f>
        <v>1</v>
      </c>
      <c r="Q208" s="65" t="b">
        <f>TEXT(导出!Q206,"#.00")=TEXT(计算!Q206, "#.00")</f>
        <v>1</v>
      </c>
      <c r="R208" s="65" t="b">
        <f>TEXT(导出!R206,"#.00")=TEXT(计算!R206, "#.00")</f>
        <v>1</v>
      </c>
      <c r="S208" s="65" t="b">
        <f>TEXT(导出!S206,"#.00")=TEXT(计算!S206, "#.00")</f>
        <v>1</v>
      </c>
      <c r="T208" s="65" t="b">
        <f>TEXT(导出!T206,"#.00")=TEXT(计算!T206, "#.00")</f>
        <v>1</v>
      </c>
      <c r="U208" s="65" t="b">
        <f>TEXT(导出!U206,"#.00")=TEXT(计算!U206, "#.00")</f>
        <v>1</v>
      </c>
      <c r="V208" s="65" t="b">
        <f>TEXT(导出!V206,"#.00")=TEXT(计算!V206*100, "#.00")</f>
        <v>1</v>
      </c>
      <c r="W208" s="65" t="b">
        <f>TEXT(导出!W206,"#.00")=TEXT(计算!W206, "#.00")</f>
        <v>1</v>
      </c>
      <c r="X208" s="65" t="b">
        <f>TEXT(导出!X206,"#.00")=TEXT(计算!X206, "#.00")</f>
        <v>1</v>
      </c>
      <c r="Y208" s="65" t="b">
        <f>TEXT(导出!Y206,"#.00")=TEXT(计算!Y206, "#.00")</f>
        <v>1</v>
      </c>
      <c r="Z208" s="65" t="b">
        <f>TEXT(导出!Z206,"#.00")=TEXT(计算!Z206, "#.00")</f>
        <v>1</v>
      </c>
      <c r="AA208" s="65" t="b">
        <f>TEXT(导出!AA206,"#.00")=TEXT(计算!AA206*100, "#.00")</f>
        <v>1</v>
      </c>
      <c r="AB208" s="65" t="b">
        <f>TEXT(导出!AB206,"#.00")=TEXT(计算!AB206, "#.00")</f>
        <v>1</v>
      </c>
      <c r="AC208" s="65" t="b">
        <f>TEXT(导出!AC206,"#.00")=TEXT(计算!AC206, "#.00")</f>
        <v>1</v>
      </c>
      <c r="AD208" s="65" t="b">
        <f>TEXT(导出!AD206,"#.00")=TEXT(计算!AD206, "#.00")</f>
        <v>1</v>
      </c>
      <c r="AE208" s="65" t="b">
        <f>ABS(导出!AE206-计算!AE206)&lt;10</f>
        <v>1</v>
      </c>
      <c r="AF208" s="65" t="b">
        <f>TEXT(ABS(导出!AF206),"#.00")=TEXT(ABS(计算!AF206), "#.00")</f>
        <v>1</v>
      </c>
      <c r="AG208" s="65" t="b">
        <f>TEXT(导出!AG206,"#.00")=TEXT(计算!AG206, "#.00")</f>
        <v>1</v>
      </c>
      <c r="AH208" s="65" t="b">
        <f>TEXT(导出!AH206,"#.00")=TEXT(计算!AH206, "#.00")</f>
        <v>1</v>
      </c>
      <c r="AI208">
        <v>0</v>
      </c>
      <c r="AJ208" s="3">
        <v>41912.686249999999</v>
      </c>
      <c r="AK208" s="2" t="s">
        <v>1711</v>
      </c>
    </row>
    <row r="209" spans="1:37" x14ac:dyDescent="0.15">
      <c r="A209" s="2" t="s">
        <v>1710</v>
      </c>
      <c r="B209">
        <v>294</v>
      </c>
      <c r="C209" s="3">
        <v>41821</v>
      </c>
      <c r="D209" s="2" t="s">
        <v>37</v>
      </c>
      <c r="E209" s="2" t="s">
        <v>1709</v>
      </c>
      <c r="F209" s="2" t="s">
        <v>41</v>
      </c>
      <c r="G209" s="2" t="s">
        <v>395</v>
      </c>
      <c r="H209" s="2" t="s">
        <v>396</v>
      </c>
      <c r="I209" s="65" t="b">
        <f>导出!I207=计算!I207</f>
        <v>1</v>
      </c>
      <c r="J209" s="65" t="b">
        <f>导出!J207=计算!J207</f>
        <v>1</v>
      </c>
      <c r="K209" s="65" t="b">
        <f>导出!K207=计算!K207</f>
        <v>1</v>
      </c>
      <c r="L209" s="65" t="b">
        <f>导出!L207=计算!L207</f>
        <v>1</v>
      </c>
      <c r="M209" s="65" t="b">
        <f>导出!M207=计算!M207</f>
        <v>1</v>
      </c>
      <c r="N209" s="65" t="b">
        <f>TEXT(导出!N207,"#.00")=TEXT(计算!N207, "#.00")</f>
        <v>1</v>
      </c>
      <c r="O209" s="65" t="b">
        <f>TEXT(导出!O207,"#.00")=TEXT(计算!O207, "#.00")</f>
        <v>1</v>
      </c>
      <c r="P209" s="65" t="b">
        <f>TEXT(导出!P207,"#.00")=TEXT(计算!P207, "#.00")</f>
        <v>1</v>
      </c>
      <c r="Q209" s="65" t="b">
        <f>TEXT(导出!Q207,"#.00")=TEXT(计算!Q207, "#.00")</f>
        <v>1</v>
      </c>
      <c r="R209" s="65" t="b">
        <f>TEXT(导出!R207,"#.00")=TEXT(计算!R207, "#.00")</f>
        <v>1</v>
      </c>
      <c r="S209" s="65" t="b">
        <f>TEXT(导出!S207,"#.00")=TEXT(计算!S207, "#.00")</f>
        <v>1</v>
      </c>
      <c r="T209" s="65" t="b">
        <f>TEXT(导出!T207,"#.00")=TEXT(计算!T207, "#.00")</f>
        <v>1</v>
      </c>
      <c r="U209" s="65" t="b">
        <f>TEXT(导出!U207,"#.00")=TEXT(计算!U207, "#.00")</f>
        <v>1</v>
      </c>
      <c r="V209" s="65" t="b">
        <f>TEXT(导出!V207,"#.00")=TEXT(计算!V207*100, "#.00")</f>
        <v>1</v>
      </c>
      <c r="W209" s="65" t="b">
        <f>TEXT(导出!W207,"#.00")=TEXT(计算!W207, "#.00")</f>
        <v>1</v>
      </c>
      <c r="X209" s="65" t="b">
        <f>TEXT(导出!X207,"#.00")=TEXT(计算!X207, "#.00")</f>
        <v>1</v>
      </c>
      <c r="Y209" s="65" t="b">
        <f>TEXT(导出!Y207,"#.00")=TEXT(计算!Y207, "#.00")</f>
        <v>1</v>
      </c>
      <c r="Z209" s="65" t="b">
        <f>TEXT(导出!Z207,"#.00")=TEXT(计算!Z207, "#.00")</f>
        <v>1</v>
      </c>
      <c r="AA209" s="65" t="b">
        <f>TEXT(导出!AA207,"#.00")=TEXT(计算!AA207*100, "#.00")</f>
        <v>1</v>
      </c>
      <c r="AB209" s="65" t="b">
        <f>TEXT(导出!AB207,"#.00")=TEXT(计算!AB207, "#.00")</f>
        <v>1</v>
      </c>
      <c r="AC209" s="65" t="b">
        <f>TEXT(导出!AC207,"#.00")=TEXT(计算!AC207, "#.00")</f>
        <v>1</v>
      </c>
      <c r="AD209" s="65" t="b">
        <f>TEXT(导出!AD207,"#.00")=TEXT(计算!AD207, "#.00")</f>
        <v>1</v>
      </c>
      <c r="AE209" s="65" t="b">
        <f>ABS(导出!AE207-计算!AE207)&lt;10</f>
        <v>1</v>
      </c>
      <c r="AF209" s="65" t="b">
        <f>TEXT(ABS(导出!AF207),"#.00")=TEXT(ABS(计算!AF207), "#.00")</f>
        <v>1</v>
      </c>
      <c r="AG209" s="65" t="b">
        <f>TEXT(导出!AG207,"#.00")=TEXT(计算!AG207, "#.00")</f>
        <v>1</v>
      </c>
      <c r="AH209" s="65" t="b">
        <f>TEXT(导出!AH207,"#.00")=TEXT(计算!AH207, "#.00")</f>
        <v>1</v>
      </c>
      <c r="AI209">
        <v>0</v>
      </c>
      <c r="AJ209" s="3">
        <v>41912.686249999999</v>
      </c>
      <c r="AK209" s="2" t="s">
        <v>1708</v>
      </c>
    </row>
    <row r="210" spans="1:37" x14ac:dyDescent="0.15">
      <c r="A210" s="2" t="s">
        <v>1707</v>
      </c>
      <c r="B210">
        <v>299</v>
      </c>
      <c r="C210" s="3">
        <v>41821</v>
      </c>
      <c r="D210" s="2" t="s">
        <v>37</v>
      </c>
      <c r="E210" s="2" t="s">
        <v>1706</v>
      </c>
      <c r="F210" s="2" t="s">
        <v>41</v>
      </c>
      <c r="G210" s="2" t="s">
        <v>393</v>
      </c>
      <c r="H210" s="2" t="s">
        <v>394</v>
      </c>
      <c r="I210" s="65" t="b">
        <f>导出!I208=计算!I208</f>
        <v>1</v>
      </c>
      <c r="J210" s="65" t="b">
        <f>导出!J208=计算!J208</f>
        <v>1</v>
      </c>
      <c r="K210" s="65" t="b">
        <f>导出!K208=计算!K208</f>
        <v>1</v>
      </c>
      <c r="L210" s="65" t="b">
        <f>导出!L208=计算!L208</f>
        <v>1</v>
      </c>
      <c r="M210" s="65" t="b">
        <f>导出!M208=计算!M208</f>
        <v>1</v>
      </c>
      <c r="N210" s="65" t="b">
        <f>TEXT(导出!N208,"#.00")=TEXT(计算!N208, "#.00")</f>
        <v>1</v>
      </c>
      <c r="O210" s="65" t="b">
        <f>TEXT(导出!O208,"#.00")=TEXT(计算!O208, "#.00")</f>
        <v>1</v>
      </c>
      <c r="P210" s="65" t="b">
        <f>TEXT(导出!P208,"#.00")=TEXT(计算!P208, "#.00")</f>
        <v>1</v>
      </c>
      <c r="Q210" s="65" t="b">
        <f>TEXT(导出!Q208,"#.00")=TEXT(计算!Q208, "#.00")</f>
        <v>1</v>
      </c>
      <c r="R210" s="65" t="b">
        <f>TEXT(导出!R208,"#.00")=TEXT(计算!R208, "#.00")</f>
        <v>1</v>
      </c>
      <c r="S210" s="65" t="b">
        <f>TEXT(导出!S208,"#.00")=TEXT(计算!S208, "#.00")</f>
        <v>1</v>
      </c>
      <c r="T210" s="65" t="b">
        <f>TEXT(导出!T208,"#.00")=TEXT(计算!T208, "#.00")</f>
        <v>1</v>
      </c>
      <c r="U210" s="65" t="b">
        <f>TEXT(导出!U208,"#.00")=TEXT(计算!U208, "#.00")</f>
        <v>1</v>
      </c>
      <c r="V210" s="65" t="b">
        <f>TEXT(导出!V208,"#.00")=TEXT(计算!V208*100, "#.00")</f>
        <v>1</v>
      </c>
      <c r="W210" s="65" t="b">
        <f>TEXT(导出!W208,"#.00")=TEXT(计算!W208, "#.00")</f>
        <v>1</v>
      </c>
      <c r="X210" s="65" t="b">
        <f>TEXT(导出!X208,"#.00")=TEXT(计算!X208, "#.00")</f>
        <v>1</v>
      </c>
      <c r="Y210" s="65" t="b">
        <f>TEXT(导出!Y208,"#.00")=TEXT(计算!Y208, "#.00")</f>
        <v>1</v>
      </c>
      <c r="Z210" s="65" t="b">
        <f>TEXT(导出!Z208,"#.00")=TEXT(计算!Z208, "#.00")</f>
        <v>1</v>
      </c>
      <c r="AA210" s="65" t="b">
        <f>TEXT(导出!AA208,"#.00")=TEXT(计算!AA208*100, "#.00")</f>
        <v>1</v>
      </c>
      <c r="AB210" s="65" t="b">
        <f>TEXT(导出!AB208,"#.00")=TEXT(计算!AB208, "#.00")</f>
        <v>1</v>
      </c>
      <c r="AC210" s="65" t="b">
        <f>TEXT(导出!AC208,"#.00")=TEXT(计算!AC208, "#.00")</f>
        <v>1</v>
      </c>
      <c r="AD210" s="65" t="b">
        <f>TEXT(导出!AD208,"#.00")=TEXT(计算!AD208, "#.00")</f>
        <v>1</v>
      </c>
      <c r="AE210" s="65" t="b">
        <f>ABS(导出!AE208-计算!AE208)&lt;10</f>
        <v>1</v>
      </c>
      <c r="AF210" s="65" t="b">
        <f>TEXT(ABS(导出!AF208),"#.00")=TEXT(ABS(计算!AF208), "#.00")</f>
        <v>1</v>
      </c>
      <c r="AG210" s="65" t="b">
        <f>TEXT(导出!AG208,"#.00")=TEXT(计算!AG208, "#.00")</f>
        <v>1</v>
      </c>
      <c r="AH210" s="65" t="b">
        <f>TEXT(导出!AH208,"#.00")=TEXT(计算!AH208, "#.00")</f>
        <v>1</v>
      </c>
      <c r="AI210">
        <v>0</v>
      </c>
      <c r="AJ210" s="3">
        <v>41912.686249999999</v>
      </c>
      <c r="AK210" s="2" t="s">
        <v>1705</v>
      </c>
    </row>
    <row r="211" spans="1:37" x14ac:dyDescent="0.15">
      <c r="A211" s="2" t="s">
        <v>1704</v>
      </c>
      <c r="B211">
        <v>1214</v>
      </c>
      <c r="C211" s="3">
        <v>41821</v>
      </c>
      <c r="D211" s="2" t="s">
        <v>37</v>
      </c>
      <c r="E211" s="2" t="s">
        <v>1703</v>
      </c>
      <c r="F211" s="2" t="s">
        <v>38</v>
      </c>
      <c r="G211" s="2" t="s">
        <v>441</v>
      </c>
      <c r="H211" s="2" t="s">
        <v>442</v>
      </c>
      <c r="I211" s="65" t="b">
        <f>导出!I209=计算!I209</f>
        <v>1</v>
      </c>
      <c r="J211" s="65" t="b">
        <f>导出!J209=计算!J209</f>
        <v>1</v>
      </c>
      <c r="K211" s="65" t="b">
        <f>导出!K209=计算!K209</f>
        <v>1</v>
      </c>
      <c r="L211" s="65" t="b">
        <f>导出!L209=计算!L209</f>
        <v>1</v>
      </c>
      <c r="M211" s="65" t="b">
        <f>导出!M209=计算!M209</f>
        <v>1</v>
      </c>
      <c r="N211" s="65" t="b">
        <f>TEXT(导出!N209,"#.00")=TEXT(计算!N209, "#.00")</f>
        <v>1</v>
      </c>
      <c r="O211" s="65" t="b">
        <f>TEXT(导出!O209,"#.00")=TEXT(计算!O209, "#.00")</f>
        <v>1</v>
      </c>
      <c r="P211" s="65" t="b">
        <f>TEXT(导出!P209,"#.00")=TEXT(计算!P209, "#.00")</f>
        <v>1</v>
      </c>
      <c r="Q211" s="65" t="b">
        <f>TEXT(导出!Q209,"#.00")=TEXT(计算!Q209, "#.00")</f>
        <v>1</v>
      </c>
      <c r="R211" s="65" t="b">
        <f>TEXT(导出!R209,"#.00")=TEXT(计算!R209, "#.00")</f>
        <v>1</v>
      </c>
      <c r="S211" s="65" t="b">
        <f>TEXT(导出!S209,"#.00")=TEXT(计算!S209, "#.00")</f>
        <v>1</v>
      </c>
      <c r="T211" s="65" t="b">
        <f>TEXT(导出!T209,"#.00")=TEXT(计算!T209, "#.00")</f>
        <v>1</v>
      </c>
      <c r="U211" s="65" t="b">
        <f>TEXT(导出!U209,"#.00")=TEXT(计算!U209, "#.00")</f>
        <v>1</v>
      </c>
      <c r="V211" s="65" t="b">
        <f>TEXT(导出!V209,"#.00")=TEXT(计算!V209*100, "#.00")</f>
        <v>1</v>
      </c>
      <c r="W211" s="65" t="b">
        <f>TEXT(导出!W209,"#.00")=TEXT(计算!W209, "#.00")</f>
        <v>1</v>
      </c>
      <c r="X211" s="65" t="b">
        <f>TEXT(导出!X209,"#.00")=TEXT(计算!X209, "#.00")</f>
        <v>1</v>
      </c>
      <c r="Y211" s="65" t="b">
        <f>TEXT(导出!Y209,"#.00")=TEXT(计算!Y209, "#.00")</f>
        <v>1</v>
      </c>
      <c r="Z211" s="65" t="b">
        <f>TEXT(导出!Z209,"#.00")=TEXT(计算!Z209, "#.00")</f>
        <v>1</v>
      </c>
      <c r="AA211" s="65" t="b">
        <f>TEXT(导出!AA209,"#.00")=TEXT(计算!AA209*100, "#.00")</f>
        <v>1</v>
      </c>
      <c r="AB211" s="65" t="b">
        <f>TEXT(导出!AB209,"#.00")=TEXT(计算!AB209, "#.00")</f>
        <v>1</v>
      </c>
      <c r="AC211" s="65" t="b">
        <f>TEXT(导出!AC209,"#.00")=TEXT(计算!AC209, "#.00")</f>
        <v>1</v>
      </c>
      <c r="AD211" s="65" t="b">
        <f>TEXT(导出!AD209,"#.00")=TEXT(计算!AD209, "#.00")</f>
        <v>1</v>
      </c>
      <c r="AE211" s="65" t="b">
        <f>ABS(导出!AE209-计算!AE209)&lt;10</f>
        <v>1</v>
      </c>
      <c r="AF211" s="65" t="b">
        <f>TEXT(ABS(导出!AF209),"#.00")=TEXT(ABS(计算!AF209), "#.00")</f>
        <v>1</v>
      </c>
      <c r="AG211" s="65" t="b">
        <f>TEXT(导出!AG209,"#.00")=TEXT(计算!AG209, "#.00")</f>
        <v>1</v>
      </c>
      <c r="AH211" s="65" t="b">
        <f>TEXT(导出!AH209,"#.00")=TEXT(计算!AH209, "#.00")</f>
        <v>1</v>
      </c>
      <c r="AI211">
        <v>0</v>
      </c>
      <c r="AJ211" s="3">
        <v>41912.6862847222</v>
      </c>
      <c r="AK211" s="2" t="s">
        <v>1702</v>
      </c>
    </row>
    <row r="212" spans="1:37" x14ac:dyDescent="0.15">
      <c r="A212" s="2" t="s">
        <v>1701</v>
      </c>
      <c r="B212">
        <v>307</v>
      </c>
      <c r="C212" s="3">
        <v>41821</v>
      </c>
      <c r="D212" s="2" t="s">
        <v>37</v>
      </c>
      <c r="E212" s="2" t="s">
        <v>1700</v>
      </c>
      <c r="F212" s="2" t="s">
        <v>41</v>
      </c>
      <c r="G212" s="2" t="s">
        <v>399</v>
      </c>
      <c r="H212" s="2" t="s">
        <v>400</v>
      </c>
      <c r="I212" s="65" t="b">
        <f>导出!I210=计算!I210</f>
        <v>1</v>
      </c>
      <c r="J212" s="65" t="b">
        <f>导出!J210=计算!J210</f>
        <v>1</v>
      </c>
      <c r="K212" s="65" t="b">
        <f>导出!K210=计算!K210</f>
        <v>1</v>
      </c>
      <c r="L212" s="65" t="b">
        <f>导出!L210=计算!L210</f>
        <v>1</v>
      </c>
      <c r="M212" s="65" t="b">
        <f>导出!M210=计算!M210</f>
        <v>1</v>
      </c>
      <c r="N212" s="65" t="b">
        <f>TEXT(导出!N210,"#.00")=TEXT(计算!N210, "#.00")</f>
        <v>1</v>
      </c>
      <c r="O212" s="65" t="b">
        <f>TEXT(导出!O210,"#.00")=TEXT(计算!O210, "#.00")</f>
        <v>1</v>
      </c>
      <c r="P212" s="65" t="b">
        <f>TEXT(导出!P210,"#.00")=TEXT(计算!P210, "#.00")</f>
        <v>1</v>
      </c>
      <c r="Q212" s="65" t="b">
        <f>TEXT(导出!Q210,"#.00")=TEXT(计算!Q210, "#.00")</f>
        <v>1</v>
      </c>
      <c r="R212" s="65" t="b">
        <f>TEXT(导出!R210,"#.00")=TEXT(计算!R210, "#.00")</f>
        <v>1</v>
      </c>
      <c r="S212" s="65" t="b">
        <f>TEXT(导出!S210,"#.00")=TEXT(计算!S210, "#.00")</f>
        <v>1</v>
      </c>
      <c r="T212" s="65" t="b">
        <f>TEXT(导出!T210,"#.00")=TEXT(计算!T210, "#.00")</f>
        <v>1</v>
      </c>
      <c r="U212" s="65" t="b">
        <f>TEXT(导出!U210,"#.00")=TEXT(计算!U210, "#.00")</f>
        <v>1</v>
      </c>
      <c r="V212" s="65" t="b">
        <f>TEXT(导出!V210,"#.00")=TEXT(计算!V210*100, "#.00")</f>
        <v>1</v>
      </c>
      <c r="W212" s="65" t="b">
        <f>TEXT(导出!W210,"#.00")=TEXT(计算!W210, "#.00")</f>
        <v>1</v>
      </c>
      <c r="X212" s="65" t="b">
        <f>TEXT(导出!X210,"#.00")=TEXT(计算!X210, "#.00")</f>
        <v>1</v>
      </c>
      <c r="Y212" s="65" t="b">
        <f>TEXT(导出!Y210,"#.00")=TEXT(计算!Y210, "#.00")</f>
        <v>1</v>
      </c>
      <c r="Z212" s="65" t="b">
        <f>TEXT(导出!Z210,"#.00")=TEXT(计算!Z210, "#.00")</f>
        <v>1</v>
      </c>
      <c r="AA212" s="65" t="b">
        <f>TEXT(导出!AA210,"#.00")=TEXT(计算!AA210*100, "#.00")</f>
        <v>1</v>
      </c>
      <c r="AB212" s="65" t="b">
        <f>TEXT(导出!AB210,"#.00")=TEXT(计算!AB210, "#.00")</f>
        <v>1</v>
      </c>
      <c r="AC212" s="65" t="b">
        <f>TEXT(导出!AC210,"#.00")=TEXT(计算!AC210, "#.00")</f>
        <v>1</v>
      </c>
      <c r="AD212" s="65" t="b">
        <f>TEXT(导出!AD210,"#.00")=TEXT(计算!AD210, "#.00")</f>
        <v>1</v>
      </c>
      <c r="AE212" s="65" t="b">
        <f>ABS(导出!AE210-计算!AE210)&lt;10</f>
        <v>1</v>
      </c>
      <c r="AF212" s="65" t="b">
        <f>TEXT(ABS(导出!AF210),"#.00")=TEXT(ABS(计算!AF210), "#.00")</f>
        <v>1</v>
      </c>
      <c r="AG212" s="65" t="b">
        <f>TEXT(导出!AG210,"#.00")=TEXT(计算!AG210, "#.00")</f>
        <v>1</v>
      </c>
      <c r="AH212" s="65" t="b">
        <f>TEXT(导出!AH210,"#.00")=TEXT(计算!AH210, "#.00")</f>
        <v>1</v>
      </c>
      <c r="AI212">
        <v>0</v>
      </c>
      <c r="AJ212" s="3">
        <v>41912.686249999999</v>
      </c>
      <c r="AK212" s="2" t="s">
        <v>1699</v>
      </c>
    </row>
    <row r="213" spans="1:37" x14ac:dyDescent="0.15">
      <c r="A213" s="2" t="s">
        <v>1698</v>
      </c>
      <c r="B213">
        <v>239</v>
      </c>
      <c r="C213" s="3">
        <v>41821</v>
      </c>
      <c r="D213" s="2" t="s">
        <v>37</v>
      </c>
      <c r="E213" s="2" t="s">
        <v>1697</v>
      </c>
      <c r="F213" s="2" t="s">
        <v>41</v>
      </c>
      <c r="G213" s="2" t="s">
        <v>401</v>
      </c>
      <c r="H213" s="2" t="s">
        <v>402</v>
      </c>
      <c r="I213" s="65" t="b">
        <f>导出!I211=计算!I211</f>
        <v>1</v>
      </c>
      <c r="J213" s="65" t="b">
        <f>导出!J211=计算!J211</f>
        <v>1</v>
      </c>
      <c r="K213" s="65" t="b">
        <f>导出!K211=计算!K211</f>
        <v>1</v>
      </c>
      <c r="L213" s="65" t="b">
        <f>导出!L211=计算!L211</f>
        <v>1</v>
      </c>
      <c r="M213" s="65" t="b">
        <f>导出!M211=计算!M211</f>
        <v>1</v>
      </c>
      <c r="N213" s="65" t="b">
        <f>TEXT(导出!N211,"#.00")=TEXT(计算!N211, "#.00")</f>
        <v>1</v>
      </c>
      <c r="O213" s="65" t="b">
        <f>TEXT(导出!O211,"#.00")=TEXT(计算!O211, "#.00")</f>
        <v>1</v>
      </c>
      <c r="P213" s="65" t="b">
        <f>TEXT(导出!P211,"#.00")=TEXT(计算!P211, "#.00")</f>
        <v>1</v>
      </c>
      <c r="Q213" s="65" t="b">
        <f>TEXT(导出!Q211,"#.00")=TEXT(计算!Q211, "#.00")</f>
        <v>1</v>
      </c>
      <c r="R213" s="65" t="b">
        <f>TEXT(导出!R211,"#.00")=TEXT(计算!R211, "#.00")</f>
        <v>1</v>
      </c>
      <c r="S213" s="65" t="b">
        <f>TEXT(导出!S211,"#.00")=TEXT(计算!S211, "#.00")</f>
        <v>1</v>
      </c>
      <c r="T213" s="65" t="b">
        <f>TEXT(导出!T211,"#.00")=TEXT(计算!T211, "#.00")</f>
        <v>1</v>
      </c>
      <c r="U213" s="65" t="b">
        <f>TEXT(导出!U211,"#.00")=TEXT(计算!U211, "#.00")</f>
        <v>1</v>
      </c>
      <c r="V213" s="65" t="b">
        <f>TEXT(导出!V211,"#.00")=TEXT(计算!V211*100, "#.00")</f>
        <v>1</v>
      </c>
      <c r="W213" s="65" t="b">
        <f>TEXT(导出!W211,"#.00")=TEXT(计算!W211, "#.00")</f>
        <v>1</v>
      </c>
      <c r="X213" s="65" t="b">
        <f>TEXT(导出!X211,"#.00")=TEXT(计算!X211, "#.00")</f>
        <v>1</v>
      </c>
      <c r="Y213" s="65" t="b">
        <f>TEXT(导出!Y211,"#.00")=TEXT(计算!Y211, "#.00")</f>
        <v>1</v>
      </c>
      <c r="Z213" s="65" t="b">
        <f>TEXT(导出!Z211,"#.00")=TEXT(计算!Z211, "#.00")</f>
        <v>1</v>
      </c>
      <c r="AA213" s="65" t="b">
        <f>TEXT(导出!AA211,"#.00")=TEXT(计算!AA211*100, "#.00")</f>
        <v>1</v>
      </c>
      <c r="AB213" s="65" t="b">
        <f>TEXT(导出!AB211,"#.00")=TEXT(计算!AB211, "#.00")</f>
        <v>1</v>
      </c>
      <c r="AC213" s="65" t="b">
        <f>TEXT(导出!AC211,"#.00")=TEXT(计算!AC211, "#.00")</f>
        <v>1</v>
      </c>
      <c r="AD213" s="65" t="b">
        <f>TEXT(导出!AD211,"#.00")=TEXT(计算!AD211, "#.00")</f>
        <v>1</v>
      </c>
      <c r="AE213" s="65" t="b">
        <f>ABS(导出!AE211-计算!AE211)&lt;10</f>
        <v>1</v>
      </c>
      <c r="AF213" s="65" t="b">
        <f>TEXT(ABS(导出!AF211),"#.00")=TEXT(ABS(计算!AF211), "#.00")</f>
        <v>1</v>
      </c>
      <c r="AG213" s="65" t="b">
        <f>TEXT(导出!AG211,"#.00")=TEXT(计算!AG211, "#.00")</f>
        <v>1</v>
      </c>
      <c r="AH213" s="65" t="b">
        <f>TEXT(导出!AH211,"#.00")=TEXT(计算!AH211, "#.00")</f>
        <v>1</v>
      </c>
      <c r="AI213">
        <v>0</v>
      </c>
      <c r="AJ213" s="3">
        <v>41912.6862384259</v>
      </c>
      <c r="AK213" s="2" t="s">
        <v>1696</v>
      </c>
    </row>
    <row r="214" spans="1:37" x14ac:dyDescent="0.15">
      <c r="A214" s="2" t="s">
        <v>1695</v>
      </c>
      <c r="B214">
        <v>1209</v>
      </c>
      <c r="C214" s="3">
        <v>41837</v>
      </c>
      <c r="D214" s="2" t="s">
        <v>37</v>
      </c>
      <c r="E214" s="2" t="s">
        <v>1694</v>
      </c>
      <c r="F214" s="2" t="s">
        <v>38</v>
      </c>
      <c r="G214" s="2" t="s">
        <v>459</v>
      </c>
      <c r="H214" s="2" t="s">
        <v>460</v>
      </c>
      <c r="I214" s="65" t="b">
        <f>导出!I212=计算!I212</f>
        <v>1</v>
      </c>
      <c r="J214" s="65" t="b">
        <f>导出!J212=计算!J212</f>
        <v>1</v>
      </c>
      <c r="K214" s="65" t="b">
        <f>导出!K212=计算!K212</f>
        <v>1</v>
      </c>
      <c r="L214" s="65" t="b">
        <f>导出!L212=计算!L212</f>
        <v>1</v>
      </c>
      <c r="M214" s="65" t="b">
        <f>导出!M212=计算!M212</f>
        <v>1</v>
      </c>
      <c r="N214" s="65" t="b">
        <f>TEXT(导出!N212,"#.00")=TEXT(计算!N212, "#.00")</f>
        <v>1</v>
      </c>
      <c r="O214" s="65" t="b">
        <f>TEXT(导出!O212,"#.00")=TEXT(计算!O212, "#.00")</f>
        <v>1</v>
      </c>
      <c r="P214" s="65" t="b">
        <f>TEXT(导出!P212,"#.00")=TEXT(计算!P212, "#.00")</f>
        <v>1</v>
      </c>
      <c r="Q214" s="65" t="b">
        <f>TEXT(导出!Q212,"#.00")=TEXT(计算!Q212, "#.00")</f>
        <v>1</v>
      </c>
      <c r="R214" s="65" t="b">
        <f>TEXT(导出!R212,"#.00")=TEXT(计算!R212, "#.00")</f>
        <v>1</v>
      </c>
      <c r="S214" s="65" t="b">
        <f>TEXT(导出!S212,"#.00")=TEXT(计算!S212, "#.00")</f>
        <v>1</v>
      </c>
      <c r="T214" s="65" t="b">
        <f>TEXT(导出!T212,"#.00")=TEXT(计算!T212, "#.00")</f>
        <v>1</v>
      </c>
      <c r="U214" s="65" t="b">
        <f>TEXT(导出!U212,"#.00")=TEXT(计算!U212, "#.00")</f>
        <v>1</v>
      </c>
      <c r="V214" s="65" t="b">
        <f>TEXT(导出!V212,"#.00")=TEXT(计算!V212*100, "#.00")</f>
        <v>1</v>
      </c>
      <c r="W214" s="65" t="b">
        <f>TEXT(导出!W212,"#.00")=TEXT(计算!W212, "#.00")</f>
        <v>1</v>
      </c>
      <c r="X214" s="65" t="b">
        <f>TEXT(导出!X212,"#.00")=TEXT(计算!X212, "#.00")</f>
        <v>1</v>
      </c>
      <c r="Y214" s="65" t="b">
        <f>TEXT(导出!Y212,"#.00")=TEXT(计算!Y212, "#.00")</f>
        <v>1</v>
      </c>
      <c r="Z214" s="65" t="b">
        <f>TEXT(导出!Z212,"#.00")=TEXT(计算!Z212, "#.00")</f>
        <v>1</v>
      </c>
      <c r="AA214" s="65" t="b">
        <f>TEXT(导出!AA212,"#.00")=TEXT(计算!AA212*100, "#.00")</f>
        <v>1</v>
      </c>
      <c r="AB214" s="65" t="b">
        <f>TEXT(导出!AB212,"#.00")=TEXT(计算!AB212, "#.00")</f>
        <v>1</v>
      </c>
      <c r="AC214" s="65" t="b">
        <f>TEXT(导出!AC212,"#.00")=TEXT(计算!AC212, "#.00")</f>
        <v>1</v>
      </c>
      <c r="AD214" s="65" t="b">
        <f>TEXT(导出!AD212,"#.00")=TEXT(计算!AD212, "#.00")</f>
        <v>1</v>
      </c>
      <c r="AE214" s="65" t="b">
        <f>ABS(导出!AE212-计算!AE212)&lt;10</f>
        <v>1</v>
      </c>
      <c r="AF214" s="65" t="b">
        <f>TEXT(ABS(导出!AF212),"#.00")=TEXT(ABS(计算!AF212), "#.00")</f>
        <v>1</v>
      </c>
      <c r="AG214" s="65" t="b">
        <f>TEXT(导出!AG212,"#.00")=TEXT(计算!AG212, "#.00")</f>
        <v>1</v>
      </c>
      <c r="AH214" s="65" t="b">
        <f>TEXT(导出!AH212,"#.00")=TEXT(计算!AH212, "#.00")</f>
        <v>1</v>
      </c>
      <c r="AI214">
        <v>0</v>
      </c>
      <c r="AJ214" s="3">
        <v>41912.6862847222</v>
      </c>
      <c r="AK214" s="2" t="s">
        <v>1693</v>
      </c>
    </row>
    <row r="215" spans="1:37" x14ac:dyDescent="0.15">
      <c r="A215" s="2" t="s">
        <v>1692</v>
      </c>
      <c r="B215">
        <v>1200</v>
      </c>
      <c r="C215" s="3">
        <v>41837</v>
      </c>
      <c r="D215" s="2" t="s">
        <v>37</v>
      </c>
      <c r="E215" s="2" t="s">
        <v>1691</v>
      </c>
      <c r="F215" s="2" t="s">
        <v>38</v>
      </c>
      <c r="G215" s="2" t="s">
        <v>1645</v>
      </c>
      <c r="H215" s="2" t="s">
        <v>1679</v>
      </c>
      <c r="I215" s="65" t="b">
        <f>导出!I213=计算!I213</f>
        <v>1</v>
      </c>
      <c r="J215" s="65" t="b">
        <f>导出!J213=计算!J213</f>
        <v>1</v>
      </c>
      <c r="K215" s="65" t="b">
        <f>导出!K213=计算!K213</f>
        <v>1</v>
      </c>
      <c r="L215" s="65" t="b">
        <f>导出!L213=计算!L213</f>
        <v>1</v>
      </c>
      <c r="M215" s="65" t="b">
        <f>导出!M213=计算!M213</f>
        <v>1</v>
      </c>
      <c r="N215" s="65" t="b">
        <f>TEXT(导出!N213,"#.00")=TEXT(计算!N213, "#.00")</f>
        <v>1</v>
      </c>
      <c r="O215" s="65" t="b">
        <f>TEXT(导出!O213,"#.00")=TEXT(计算!O213, "#.00")</f>
        <v>1</v>
      </c>
      <c r="P215" s="65" t="b">
        <f>TEXT(导出!P213,"#.00")=TEXT(计算!P213, "#.00")</f>
        <v>1</v>
      </c>
      <c r="Q215" s="65" t="b">
        <f>TEXT(导出!Q213,"#.00")=TEXT(计算!Q213, "#.00")</f>
        <v>1</v>
      </c>
      <c r="R215" s="65" t="b">
        <f>TEXT(导出!R213,"#.00")=TEXT(计算!R213, "#.00")</f>
        <v>1</v>
      </c>
      <c r="S215" s="65" t="b">
        <f>TEXT(导出!S213,"#.00")=TEXT(计算!S213, "#.00")</f>
        <v>1</v>
      </c>
      <c r="T215" s="65" t="b">
        <f>TEXT(导出!T213,"#.00")=TEXT(计算!T213, "#.00")</f>
        <v>1</v>
      </c>
      <c r="U215" s="65" t="b">
        <f>TEXT(导出!U213,"#.00")=TEXT(计算!U213, "#.00")</f>
        <v>1</v>
      </c>
      <c r="V215" s="65" t="b">
        <f>TEXT(导出!V213,"#.00")=TEXT(计算!V213*100, "#.00")</f>
        <v>1</v>
      </c>
      <c r="W215" s="65" t="b">
        <f>TEXT(导出!W213,"#.00")=TEXT(计算!W213, "#.00")</f>
        <v>1</v>
      </c>
      <c r="X215" s="65" t="b">
        <f>TEXT(导出!X213,"#.00")=TEXT(计算!X213, "#.00")</f>
        <v>1</v>
      </c>
      <c r="Y215" s="65" t="b">
        <f>TEXT(导出!Y213,"#.00")=TEXT(计算!Y213, "#.00")</f>
        <v>1</v>
      </c>
      <c r="Z215" s="65" t="b">
        <f>TEXT(导出!Z213,"#.00")=TEXT(计算!Z213, "#.00")</f>
        <v>1</v>
      </c>
      <c r="AA215" s="65" t="b">
        <f>TEXT(导出!AA213,"#.00")=TEXT(计算!AA213*100, "#.00")</f>
        <v>1</v>
      </c>
      <c r="AB215" s="65" t="b">
        <f>TEXT(导出!AB213,"#.00")=TEXT(计算!AB213, "#.00")</f>
        <v>1</v>
      </c>
      <c r="AC215" s="65" t="b">
        <f>TEXT(导出!AC213,"#.00")=TEXT(计算!AC213, "#.00")</f>
        <v>1</v>
      </c>
      <c r="AD215" s="65" t="b">
        <f>TEXT(导出!AD213,"#.00")=TEXT(计算!AD213, "#.00")</f>
        <v>1</v>
      </c>
      <c r="AE215" s="65" t="b">
        <f>ABS(导出!AE213-计算!AE213)&lt;10</f>
        <v>1</v>
      </c>
      <c r="AF215" s="65" t="b">
        <f>TEXT(ABS(导出!AF213),"#.00")=TEXT(ABS(计算!AF213), "#.00")</f>
        <v>1</v>
      </c>
      <c r="AG215" s="65" t="b">
        <f>TEXT(导出!AG213,"#.00")=TEXT(计算!AG213, "#.00")</f>
        <v>1</v>
      </c>
      <c r="AH215" s="65" t="b">
        <f>TEXT(导出!AH213,"#.00")=TEXT(计算!AH213, "#.00")</f>
        <v>1</v>
      </c>
      <c r="AI215">
        <v>0</v>
      </c>
      <c r="AJ215" s="3">
        <v>41912.6862847222</v>
      </c>
      <c r="AK215" s="2" t="s">
        <v>1690</v>
      </c>
    </row>
    <row r="216" spans="1:37" x14ac:dyDescent="0.15">
      <c r="A216" s="2" t="s">
        <v>1689</v>
      </c>
      <c r="B216">
        <v>1208</v>
      </c>
      <c r="C216" s="3">
        <v>41837</v>
      </c>
      <c r="D216" s="2" t="s">
        <v>37</v>
      </c>
      <c r="E216" s="2" t="s">
        <v>1688</v>
      </c>
      <c r="F216" s="2" t="s">
        <v>38</v>
      </c>
      <c r="G216" s="2" t="s">
        <v>461</v>
      </c>
      <c r="H216" s="2" t="s">
        <v>462</v>
      </c>
      <c r="I216" s="65" t="b">
        <f>导出!I214=计算!I214</f>
        <v>1</v>
      </c>
      <c r="J216" s="65" t="b">
        <f>导出!J214=计算!J214</f>
        <v>1</v>
      </c>
      <c r="K216" s="65" t="b">
        <f>导出!K214=计算!K214</f>
        <v>1</v>
      </c>
      <c r="L216" s="65" t="b">
        <f>导出!L214=计算!L214</f>
        <v>1</v>
      </c>
      <c r="M216" s="65" t="b">
        <f>导出!M214=计算!M214</f>
        <v>1</v>
      </c>
      <c r="N216" s="65" t="b">
        <f>TEXT(导出!N214,"#.00")=TEXT(计算!N214, "#.00")</f>
        <v>1</v>
      </c>
      <c r="O216" s="65" t="b">
        <f>TEXT(导出!O214,"#.00")=TEXT(计算!O214, "#.00")</f>
        <v>1</v>
      </c>
      <c r="P216" s="65" t="b">
        <f>TEXT(导出!P214,"#.00")=TEXT(计算!P214, "#.00")</f>
        <v>1</v>
      </c>
      <c r="Q216" s="65" t="b">
        <f>TEXT(导出!Q214,"#.00")=TEXT(计算!Q214, "#.00")</f>
        <v>1</v>
      </c>
      <c r="R216" s="65" t="b">
        <f>TEXT(导出!R214,"#.00")=TEXT(计算!R214, "#.00")</f>
        <v>1</v>
      </c>
      <c r="S216" s="65" t="b">
        <f>TEXT(导出!S214,"#.00")=TEXT(计算!S214, "#.00")</f>
        <v>1</v>
      </c>
      <c r="T216" s="65" t="b">
        <f>TEXT(导出!T214,"#.00")=TEXT(计算!T214, "#.00")</f>
        <v>1</v>
      </c>
      <c r="U216" s="65" t="b">
        <f>TEXT(导出!U214,"#.00")=TEXT(计算!U214, "#.00")</f>
        <v>1</v>
      </c>
      <c r="V216" s="65" t="b">
        <f>TEXT(导出!V214,"#.00")=TEXT(计算!V214*100, "#.00")</f>
        <v>1</v>
      </c>
      <c r="W216" s="65" t="b">
        <f>TEXT(导出!W214,"#.00")=TEXT(计算!W214, "#.00")</f>
        <v>1</v>
      </c>
      <c r="X216" s="65" t="b">
        <f>TEXT(导出!X214,"#.00")=TEXT(计算!X214, "#.00")</f>
        <v>1</v>
      </c>
      <c r="Y216" s="65" t="b">
        <f>TEXT(导出!Y214,"#.00")=TEXT(计算!Y214, "#.00")</f>
        <v>1</v>
      </c>
      <c r="Z216" s="65" t="b">
        <f>TEXT(导出!Z214,"#.00")=TEXT(计算!Z214, "#.00")</f>
        <v>1</v>
      </c>
      <c r="AA216" s="65" t="b">
        <f>TEXT(导出!AA214,"#.00")=TEXT(计算!AA214*100, "#.00")</f>
        <v>1</v>
      </c>
      <c r="AB216" s="65" t="b">
        <f>TEXT(导出!AB214,"#.00")=TEXT(计算!AB214, "#.00")</f>
        <v>1</v>
      </c>
      <c r="AC216" s="65" t="b">
        <f>TEXT(导出!AC214,"#.00")=TEXT(计算!AC214, "#.00")</f>
        <v>1</v>
      </c>
      <c r="AD216" s="65" t="b">
        <f>TEXT(导出!AD214,"#.00")=TEXT(计算!AD214, "#.00")</f>
        <v>1</v>
      </c>
      <c r="AE216" s="65" t="b">
        <f>ABS(导出!AE214-计算!AE214)&lt;10</f>
        <v>1</v>
      </c>
      <c r="AF216" s="65" t="b">
        <f>TEXT(ABS(导出!AF214),"#.00")=TEXT(ABS(计算!AF214), "#.00")</f>
        <v>1</v>
      </c>
      <c r="AG216" s="65" t="b">
        <f>TEXT(导出!AG214,"#.00")=TEXT(计算!AG214, "#.00")</f>
        <v>1</v>
      </c>
      <c r="AH216" s="65" t="b">
        <f>TEXT(导出!AH214,"#.00")=TEXT(计算!AH214, "#.00")</f>
        <v>1</v>
      </c>
      <c r="AI216">
        <v>0</v>
      </c>
      <c r="AJ216" s="3">
        <v>41912.6862847222</v>
      </c>
      <c r="AK216" s="2" t="s">
        <v>1687</v>
      </c>
    </row>
    <row r="217" spans="1:37" x14ac:dyDescent="0.15">
      <c r="A217" s="2" t="s">
        <v>1686</v>
      </c>
      <c r="B217">
        <v>1217</v>
      </c>
      <c r="C217" s="3">
        <v>41855</v>
      </c>
      <c r="D217" s="2" t="s">
        <v>37</v>
      </c>
      <c r="E217" s="2" t="s">
        <v>1685</v>
      </c>
      <c r="F217" s="2" t="s">
        <v>38</v>
      </c>
      <c r="G217" s="2" t="s">
        <v>463</v>
      </c>
      <c r="H217" s="2" t="s">
        <v>464</v>
      </c>
      <c r="I217" s="65" t="b">
        <f>导出!I215=计算!I215</f>
        <v>1</v>
      </c>
      <c r="J217" s="65" t="b">
        <f>导出!J215=计算!J215</f>
        <v>1</v>
      </c>
      <c r="K217" s="65" t="b">
        <f>导出!K215=计算!K215</f>
        <v>1</v>
      </c>
      <c r="L217" s="65" t="b">
        <f>导出!L215=计算!L215</f>
        <v>1</v>
      </c>
      <c r="M217" s="65" t="b">
        <f>导出!M215=计算!M215</f>
        <v>1</v>
      </c>
      <c r="N217" s="65" t="b">
        <f>TEXT(导出!N215,"#.00")=TEXT(计算!N215, "#.00")</f>
        <v>1</v>
      </c>
      <c r="O217" s="65" t="b">
        <f>TEXT(导出!O215,"#.00")=TEXT(计算!O215, "#.00")</f>
        <v>1</v>
      </c>
      <c r="P217" s="65" t="b">
        <f>TEXT(导出!P215,"#.00")=TEXT(计算!P215, "#.00")</f>
        <v>1</v>
      </c>
      <c r="Q217" s="65" t="b">
        <f>TEXT(导出!Q215,"#.00")=TEXT(计算!Q215, "#.00")</f>
        <v>1</v>
      </c>
      <c r="R217" s="65" t="b">
        <f>TEXT(导出!R215,"#.00")=TEXT(计算!R215, "#.00")</f>
        <v>1</v>
      </c>
      <c r="S217" s="65" t="b">
        <f>TEXT(导出!S215,"#.00")=TEXT(计算!S215, "#.00")</f>
        <v>1</v>
      </c>
      <c r="T217" s="65" t="b">
        <f>TEXT(导出!T215,"#.00")=TEXT(计算!T215, "#.00")</f>
        <v>1</v>
      </c>
      <c r="U217" s="65" t="b">
        <f>TEXT(导出!U215,"#.00")=TEXT(计算!U215, "#.00")</f>
        <v>1</v>
      </c>
      <c r="V217" s="65" t="b">
        <f>TEXT(导出!V215,"#.00")=TEXT(计算!V215*100, "#.00")</f>
        <v>1</v>
      </c>
      <c r="W217" s="65" t="b">
        <f>TEXT(导出!W215,"#.00")=TEXT(计算!W215, "#.00")</f>
        <v>1</v>
      </c>
      <c r="X217" s="65" t="b">
        <f>TEXT(导出!X215,"#.00")=TEXT(计算!X215, "#.00")</f>
        <v>1</v>
      </c>
      <c r="Y217" s="65" t="b">
        <f>TEXT(导出!Y215,"#.00")=TEXT(计算!Y215, "#.00")</f>
        <v>1</v>
      </c>
      <c r="Z217" s="65" t="b">
        <f>TEXT(导出!Z215,"#.00")=TEXT(计算!Z215, "#.00")</f>
        <v>1</v>
      </c>
      <c r="AA217" s="65" t="b">
        <f>TEXT(导出!AA215,"#.00")=TEXT(计算!AA215*100, "#.00")</f>
        <v>1</v>
      </c>
      <c r="AB217" s="65" t="b">
        <f>TEXT(导出!AB215,"#.00")=TEXT(计算!AB215, "#.00")</f>
        <v>1</v>
      </c>
      <c r="AC217" s="65" t="b">
        <f>TEXT(导出!AC215,"#.00")=TEXT(计算!AC215, "#.00")</f>
        <v>1</v>
      </c>
      <c r="AD217" s="65" t="b">
        <f>TEXT(导出!AD215,"#.00")=TEXT(计算!AD215, "#.00")</f>
        <v>1</v>
      </c>
      <c r="AE217" s="65" t="b">
        <f>ABS(导出!AE215-计算!AE215)&lt;10</f>
        <v>1</v>
      </c>
      <c r="AF217" s="65" t="b">
        <f>TEXT(ABS(导出!AF215),"#.00")=TEXT(ABS(计算!AF215), "#.00")</f>
        <v>1</v>
      </c>
      <c r="AG217" s="65" t="b">
        <f>TEXT(导出!AG215,"#.00")=TEXT(计算!AG215, "#.00")</f>
        <v>1</v>
      </c>
      <c r="AH217" s="65" t="b">
        <f>TEXT(导出!AH215,"#.00")=TEXT(计算!AH215, "#.00")</f>
        <v>1</v>
      </c>
      <c r="AI217">
        <v>0</v>
      </c>
      <c r="AJ217" s="3">
        <v>41912.6862847222</v>
      </c>
      <c r="AK217" s="2" t="s">
        <v>1684</v>
      </c>
    </row>
  </sheetData>
  <phoneticPr fontId="2" type="noConversion"/>
  <conditionalFormatting sqref="I4:AH217">
    <cfRule type="expression" dxfId="2" priority="1">
      <formula>NOT(I4)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5"/>
  <sheetViews>
    <sheetView topLeftCell="Q3" workbookViewId="0">
      <selection activeCell="Q6" sqref="Q6"/>
    </sheetView>
  </sheetViews>
  <sheetFormatPr defaultRowHeight="13.5" x14ac:dyDescent="0.15"/>
  <cols>
    <col min="1" max="1" width="40.5" bestFit="1" customWidth="1"/>
    <col min="2" max="2" width="10.75" bestFit="1" customWidth="1"/>
    <col min="3" max="3" width="20.5" bestFit="1" customWidth="1"/>
    <col min="4" max="4" width="14.5" bestFit="1" customWidth="1"/>
    <col min="5" max="6" width="40.5" bestFit="1" customWidth="1"/>
    <col min="7" max="7" width="15.875" bestFit="1" customWidth="1"/>
    <col min="8" max="8" width="42.5" bestFit="1" customWidth="1"/>
    <col min="9" max="9" width="18.25" bestFit="1" customWidth="1"/>
    <col min="10" max="10" width="15.75" bestFit="1" customWidth="1"/>
    <col min="11" max="11" width="22" bestFit="1" customWidth="1"/>
    <col min="12" max="12" width="20.75" bestFit="1" customWidth="1"/>
    <col min="13" max="13" width="18.25" bestFit="1" customWidth="1"/>
    <col min="14" max="15" width="25.75" bestFit="1" customWidth="1"/>
    <col min="16" max="16" width="27" bestFit="1" customWidth="1"/>
    <col min="17" max="17" width="24.5" bestFit="1" customWidth="1"/>
    <col min="18" max="18" width="23.25" bestFit="1" customWidth="1"/>
    <col min="19" max="19" width="29.5" bestFit="1" customWidth="1"/>
    <col min="20" max="20" width="22" bestFit="1" customWidth="1"/>
    <col min="21" max="21" width="28.25" bestFit="1" customWidth="1"/>
    <col min="22" max="22" width="19.5" bestFit="1" customWidth="1"/>
    <col min="23" max="23" width="27" bestFit="1" customWidth="1"/>
    <col min="24" max="24" width="33.25" bestFit="1" customWidth="1"/>
    <col min="25" max="25" width="17" bestFit="1" customWidth="1"/>
    <col min="26" max="26" width="23.25" bestFit="1" customWidth="1"/>
    <col min="27" max="27" width="9.625" bestFit="1" customWidth="1"/>
    <col min="28" max="29" width="17" bestFit="1" customWidth="1"/>
    <col min="30" max="30" width="18.25" bestFit="1" customWidth="1"/>
    <col min="31" max="31" width="15.75" bestFit="1" customWidth="1"/>
    <col min="32" max="33" width="17" bestFit="1" customWidth="1"/>
    <col min="34" max="34" width="15.75" bestFit="1" customWidth="1"/>
    <col min="35" max="35" width="9.625" bestFit="1" customWidth="1"/>
    <col min="36" max="36" width="20.5" bestFit="1" customWidth="1"/>
    <col min="37" max="37" width="63.75" bestFit="1" customWidth="1"/>
  </cols>
  <sheetData>
    <row r="1" spans="1:3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15">
      <c r="A2" s="2" t="s">
        <v>2325</v>
      </c>
      <c r="B2">
        <v>317</v>
      </c>
      <c r="C2" s="3">
        <v>39508</v>
      </c>
      <c r="D2" s="2" t="s">
        <v>37</v>
      </c>
      <c r="E2" s="2" t="s">
        <v>2324</v>
      </c>
      <c r="F2" s="2" t="s">
        <v>38</v>
      </c>
      <c r="G2" s="2" t="s">
        <v>39</v>
      </c>
      <c r="H2" s="2" t="s">
        <v>40</v>
      </c>
      <c r="I2" s="4">
        <v>3950000</v>
      </c>
      <c r="J2" s="4">
        <v>838394.62</v>
      </c>
      <c r="K2" s="4">
        <v>838394.62</v>
      </c>
      <c r="L2" s="5">
        <v>4596964</v>
      </c>
      <c r="M2" s="5">
        <v>3.6</v>
      </c>
      <c r="N2" s="6">
        <v>165490.704</v>
      </c>
      <c r="O2" s="4">
        <v>179181</v>
      </c>
      <c r="P2" s="4">
        <v>179181</v>
      </c>
      <c r="Q2" s="6">
        <v>-13690.296</v>
      </c>
      <c r="R2" s="4">
        <v>4986186.2</v>
      </c>
      <c r="S2" s="4">
        <v>4986186.2</v>
      </c>
      <c r="T2" s="4">
        <v>4986186.2</v>
      </c>
      <c r="U2" s="4">
        <v>4986186.2</v>
      </c>
      <c r="V2" s="6">
        <v>108.4669</v>
      </c>
      <c r="W2" s="4">
        <v>4931516.17</v>
      </c>
      <c r="X2" s="4">
        <v>4931516.17</v>
      </c>
      <c r="Y2" s="4">
        <v>4979331.17</v>
      </c>
      <c r="Z2" s="4">
        <v>4979331.17</v>
      </c>
      <c r="AA2" s="4">
        <v>3.4</v>
      </c>
      <c r="AB2" s="6">
        <v>169530.3308</v>
      </c>
      <c r="AC2" s="4">
        <v>169529</v>
      </c>
      <c r="AD2" s="4">
        <v>169529</v>
      </c>
      <c r="AE2" s="6">
        <v>1.3308</v>
      </c>
      <c r="AF2" s="4">
        <v>0</v>
      </c>
      <c r="AG2" s="7">
        <v>0</v>
      </c>
      <c r="AH2" s="2" t="s">
        <v>37</v>
      </c>
      <c r="AI2">
        <v>0</v>
      </c>
      <c r="AJ2" s="3">
        <v>41912.686249999999</v>
      </c>
      <c r="AK2" s="2" t="s">
        <v>2323</v>
      </c>
    </row>
    <row r="3" spans="1:37" x14ac:dyDescent="0.15">
      <c r="A3" s="2" t="s">
        <v>2322</v>
      </c>
      <c r="B3">
        <v>4</v>
      </c>
      <c r="C3" s="3">
        <v>39873</v>
      </c>
      <c r="D3" s="2" t="s">
        <v>37</v>
      </c>
      <c r="E3" s="2" t="s">
        <v>2321</v>
      </c>
      <c r="F3" s="2" t="s">
        <v>41</v>
      </c>
      <c r="G3" s="2" t="s">
        <v>42</v>
      </c>
      <c r="H3" s="2" t="s">
        <v>43</v>
      </c>
      <c r="I3" s="4">
        <v>85000</v>
      </c>
      <c r="J3" s="4">
        <v>0</v>
      </c>
      <c r="K3" s="4">
        <v>0</v>
      </c>
      <c r="L3" s="5">
        <v>85000</v>
      </c>
      <c r="M3" s="5">
        <v>6.6</v>
      </c>
      <c r="N3" s="6">
        <v>5610</v>
      </c>
      <c r="O3" s="4">
        <v>5610</v>
      </c>
      <c r="P3" s="4">
        <v>5610</v>
      </c>
      <c r="Q3" s="6">
        <v>0</v>
      </c>
      <c r="R3" s="4">
        <v>0</v>
      </c>
      <c r="S3" s="4">
        <v>0</v>
      </c>
      <c r="T3" s="4">
        <v>0</v>
      </c>
      <c r="U3" s="4">
        <v>0</v>
      </c>
      <c r="V3" s="6">
        <v>0</v>
      </c>
      <c r="W3" s="4">
        <v>0</v>
      </c>
      <c r="X3" s="4">
        <v>0</v>
      </c>
      <c r="Y3" s="4">
        <v>41400</v>
      </c>
      <c r="Z3" s="4">
        <v>41400</v>
      </c>
      <c r="AA3" s="4">
        <v>3.4</v>
      </c>
      <c r="AB3" s="6">
        <v>2890</v>
      </c>
      <c r="AC3" s="4">
        <v>2890</v>
      </c>
      <c r="AD3" s="4">
        <v>2890</v>
      </c>
      <c r="AE3" s="6">
        <v>0</v>
      </c>
      <c r="AF3" s="4">
        <v>0</v>
      </c>
      <c r="AG3" s="7">
        <v>0</v>
      </c>
      <c r="AH3" s="2" t="s">
        <v>37</v>
      </c>
      <c r="AI3">
        <v>0</v>
      </c>
      <c r="AJ3" s="3">
        <v>41912.6862384259</v>
      </c>
      <c r="AK3" s="2" t="s">
        <v>2320</v>
      </c>
    </row>
    <row r="4" spans="1:37" x14ac:dyDescent="0.15">
      <c r="A4" s="2" t="s">
        <v>2319</v>
      </c>
      <c r="B4">
        <v>9</v>
      </c>
      <c r="C4" s="3">
        <v>40179</v>
      </c>
      <c r="D4" s="2" t="s">
        <v>37</v>
      </c>
      <c r="E4" s="2" t="s">
        <v>2318</v>
      </c>
      <c r="F4" s="2" t="s">
        <v>41</v>
      </c>
      <c r="G4" s="2" t="s">
        <v>44</v>
      </c>
      <c r="H4" s="2" t="s">
        <v>45</v>
      </c>
      <c r="I4" s="4">
        <v>7494658.1799999997</v>
      </c>
      <c r="J4" s="4">
        <v>0</v>
      </c>
      <c r="K4" s="4">
        <v>0</v>
      </c>
      <c r="L4" s="5">
        <v>0</v>
      </c>
      <c r="M4" s="5">
        <v>6.6</v>
      </c>
      <c r="N4" s="6">
        <v>494647.4399</v>
      </c>
      <c r="O4" s="4">
        <v>494647.44</v>
      </c>
      <c r="P4" s="4">
        <v>494647.44</v>
      </c>
      <c r="Q4" s="6">
        <v>-1E-4</v>
      </c>
      <c r="R4" s="4">
        <v>0</v>
      </c>
      <c r="S4" s="4">
        <v>0</v>
      </c>
      <c r="T4" s="4">
        <v>7381694.04</v>
      </c>
      <c r="U4" s="4">
        <v>7381694.04</v>
      </c>
      <c r="V4" s="6">
        <v>98.492699999999999</v>
      </c>
      <c r="W4" s="4">
        <v>0</v>
      </c>
      <c r="X4" s="4">
        <v>0</v>
      </c>
      <c r="Y4" s="4">
        <v>6578447.8700000001</v>
      </c>
      <c r="Z4" s="4">
        <v>6578447.8700000001</v>
      </c>
      <c r="AA4" s="4">
        <v>3.4</v>
      </c>
      <c r="AB4" s="6">
        <v>254818.3781</v>
      </c>
      <c r="AC4" s="4">
        <v>254818.38</v>
      </c>
      <c r="AD4" s="4">
        <v>254818.38</v>
      </c>
      <c r="AE4" s="6">
        <v>-1.9E-3</v>
      </c>
      <c r="AF4" s="4">
        <v>0</v>
      </c>
      <c r="AG4" s="7">
        <v>0</v>
      </c>
      <c r="AH4" s="2" t="s">
        <v>37</v>
      </c>
      <c r="AI4">
        <v>0</v>
      </c>
      <c r="AJ4" s="3">
        <v>41912.6862384259</v>
      </c>
      <c r="AK4" s="2" t="s">
        <v>2317</v>
      </c>
    </row>
    <row r="5" spans="1:37" x14ac:dyDescent="0.15">
      <c r="A5" s="2" t="s">
        <v>2316</v>
      </c>
      <c r="B5">
        <v>14</v>
      </c>
      <c r="C5" s="3">
        <v>40210</v>
      </c>
      <c r="D5" s="2" t="s">
        <v>37</v>
      </c>
      <c r="E5" s="2" t="s">
        <v>2315</v>
      </c>
      <c r="F5" s="2" t="s">
        <v>41</v>
      </c>
      <c r="G5" s="2" t="s">
        <v>46</v>
      </c>
      <c r="H5" s="2" t="s">
        <v>47</v>
      </c>
      <c r="I5" s="4">
        <v>3283372.21</v>
      </c>
      <c r="J5" s="4">
        <v>0</v>
      </c>
      <c r="K5" s="4">
        <v>0</v>
      </c>
      <c r="L5" s="5">
        <v>0</v>
      </c>
      <c r="M5" s="5">
        <v>6.6</v>
      </c>
      <c r="N5" s="6">
        <v>216702.56589999999</v>
      </c>
      <c r="O5" s="4">
        <v>216702.57</v>
      </c>
      <c r="P5" s="4">
        <v>216702.57</v>
      </c>
      <c r="Q5" s="6">
        <v>-4.1000000000000003E-3</v>
      </c>
      <c r="R5" s="4">
        <v>0</v>
      </c>
      <c r="S5" s="4">
        <v>0</v>
      </c>
      <c r="T5" s="4">
        <v>2641685</v>
      </c>
      <c r="U5" s="4">
        <v>2641685</v>
      </c>
      <c r="V5" s="6">
        <v>80.456500000000005</v>
      </c>
      <c r="W5" s="4">
        <v>0</v>
      </c>
      <c r="X5" s="4">
        <v>0</v>
      </c>
      <c r="Y5" s="4">
        <v>0</v>
      </c>
      <c r="Z5" s="4">
        <v>0</v>
      </c>
      <c r="AA5" s="4">
        <v>3.4</v>
      </c>
      <c r="AB5" s="6">
        <v>111634.6551</v>
      </c>
      <c r="AC5" s="4">
        <v>89817.29</v>
      </c>
      <c r="AD5" s="4">
        <v>89817.29</v>
      </c>
      <c r="AE5" s="6">
        <v>21817.365099999999</v>
      </c>
      <c r="AF5" s="4">
        <v>-704031.49</v>
      </c>
      <c r="AG5" s="7">
        <v>0</v>
      </c>
      <c r="AH5" s="2" t="s">
        <v>37</v>
      </c>
      <c r="AI5">
        <v>0</v>
      </c>
      <c r="AJ5" s="3">
        <v>41912.6862384259</v>
      </c>
      <c r="AK5" s="2" t="s">
        <v>2314</v>
      </c>
    </row>
    <row r="6" spans="1:37" x14ac:dyDescent="0.15">
      <c r="A6" s="2" t="s">
        <v>2313</v>
      </c>
      <c r="B6">
        <v>18</v>
      </c>
      <c r="C6" s="3">
        <v>40238</v>
      </c>
      <c r="D6" s="2" t="s">
        <v>37</v>
      </c>
      <c r="E6" s="2" t="s">
        <v>2312</v>
      </c>
      <c r="F6" s="2" t="s">
        <v>41</v>
      </c>
      <c r="G6" s="2" t="s">
        <v>48</v>
      </c>
      <c r="H6" s="2" t="s">
        <v>49</v>
      </c>
      <c r="I6" s="4">
        <v>7212049</v>
      </c>
      <c r="J6" s="4">
        <v>0</v>
      </c>
      <c r="K6" s="4">
        <v>0</v>
      </c>
      <c r="L6" s="5">
        <v>0</v>
      </c>
      <c r="M6" s="5">
        <v>6.6</v>
      </c>
      <c r="N6" s="6">
        <v>475995.234</v>
      </c>
      <c r="O6" s="4">
        <v>475995.23</v>
      </c>
      <c r="P6" s="4">
        <v>475995.23</v>
      </c>
      <c r="Q6" s="6">
        <v>4.0000000000000001E-3</v>
      </c>
      <c r="R6" s="4">
        <v>0</v>
      </c>
      <c r="S6" s="4">
        <v>0</v>
      </c>
      <c r="T6" s="4">
        <v>6569639.2000000002</v>
      </c>
      <c r="U6" s="4">
        <v>6569639.2000000002</v>
      </c>
      <c r="V6" s="6">
        <v>91.092500000000001</v>
      </c>
      <c r="W6" s="4">
        <v>0</v>
      </c>
      <c r="X6" s="4">
        <v>0</v>
      </c>
      <c r="Y6" s="4">
        <v>0</v>
      </c>
      <c r="Z6" s="4">
        <v>0</v>
      </c>
      <c r="AA6" s="4">
        <v>3.4</v>
      </c>
      <c r="AB6" s="6">
        <v>245209.666</v>
      </c>
      <c r="AC6" s="4">
        <v>223367.73</v>
      </c>
      <c r="AD6" s="4">
        <v>223367.73</v>
      </c>
      <c r="AE6" s="6">
        <v>21841.936000000002</v>
      </c>
      <c r="AF6" s="4">
        <v>0</v>
      </c>
      <c r="AG6" s="7">
        <v>0</v>
      </c>
      <c r="AH6" s="2" t="s">
        <v>37</v>
      </c>
      <c r="AI6">
        <v>0</v>
      </c>
      <c r="AJ6" s="3">
        <v>41912.6862384259</v>
      </c>
      <c r="AK6" s="2" t="s">
        <v>2311</v>
      </c>
    </row>
    <row r="7" spans="1:37" x14ac:dyDescent="0.15">
      <c r="A7" s="2" t="s">
        <v>2310</v>
      </c>
      <c r="B7">
        <v>325</v>
      </c>
      <c r="C7" s="3">
        <v>40283</v>
      </c>
      <c r="D7" s="2" t="s">
        <v>37</v>
      </c>
      <c r="E7" s="2" t="s">
        <v>2309</v>
      </c>
      <c r="F7" s="2" t="s">
        <v>38</v>
      </c>
      <c r="G7" s="2" t="s">
        <v>50</v>
      </c>
      <c r="H7" s="2" t="s">
        <v>51</v>
      </c>
      <c r="I7" s="4">
        <v>4300000</v>
      </c>
      <c r="J7" s="4">
        <v>0</v>
      </c>
      <c r="K7" s="4">
        <v>0</v>
      </c>
      <c r="L7" s="5"/>
      <c r="M7" s="5">
        <v>3.6</v>
      </c>
      <c r="N7" s="6">
        <v>154800</v>
      </c>
      <c r="O7" s="4">
        <v>154800</v>
      </c>
      <c r="P7" s="4">
        <v>154800</v>
      </c>
      <c r="Q7" s="6">
        <v>0</v>
      </c>
      <c r="R7" s="4">
        <v>3940000</v>
      </c>
      <c r="S7" s="4">
        <v>3940000</v>
      </c>
      <c r="T7" s="4">
        <v>3940000</v>
      </c>
      <c r="U7" s="4">
        <v>3940000</v>
      </c>
      <c r="V7" s="6">
        <v>91.627899999999997</v>
      </c>
      <c r="W7" s="4">
        <v>3814968.9</v>
      </c>
      <c r="X7" s="4">
        <v>3814968.9</v>
      </c>
      <c r="Y7" s="4">
        <v>3908218.9</v>
      </c>
      <c r="Z7" s="4">
        <v>3908218.9</v>
      </c>
      <c r="AA7" s="4">
        <v>3.4</v>
      </c>
      <c r="AB7" s="6">
        <v>133960</v>
      </c>
      <c r="AC7" s="4">
        <v>133960</v>
      </c>
      <c r="AD7" s="4">
        <v>133960</v>
      </c>
      <c r="AE7" s="6">
        <v>0</v>
      </c>
      <c r="AF7" s="4">
        <v>0</v>
      </c>
      <c r="AG7" s="7">
        <v>65</v>
      </c>
      <c r="AH7" s="2" t="s">
        <v>52</v>
      </c>
      <c r="AI7">
        <v>0</v>
      </c>
      <c r="AJ7" s="3">
        <v>41912.686249999999</v>
      </c>
      <c r="AK7" s="2" t="s">
        <v>2308</v>
      </c>
    </row>
    <row r="8" spans="1:37" x14ac:dyDescent="0.15">
      <c r="A8" s="2" t="s">
        <v>2307</v>
      </c>
      <c r="B8">
        <v>340</v>
      </c>
      <c r="C8" s="3">
        <v>40467</v>
      </c>
      <c r="D8" s="2" t="s">
        <v>37</v>
      </c>
      <c r="E8" s="2" t="s">
        <v>2306</v>
      </c>
      <c r="F8" s="2" t="s">
        <v>38</v>
      </c>
      <c r="G8" s="2" t="s">
        <v>53</v>
      </c>
      <c r="H8" s="2" t="s">
        <v>54</v>
      </c>
      <c r="I8" s="4">
        <v>1787170</v>
      </c>
      <c r="J8" s="4">
        <v>868000</v>
      </c>
      <c r="K8" s="4">
        <v>868000</v>
      </c>
      <c r="L8" s="5">
        <v>2610000</v>
      </c>
      <c r="M8" s="5">
        <v>3.6</v>
      </c>
      <c r="N8" s="6">
        <v>93960</v>
      </c>
      <c r="O8" s="4">
        <v>94830</v>
      </c>
      <c r="P8" s="4">
        <v>94830</v>
      </c>
      <c r="Q8" s="6">
        <v>-870</v>
      </c>
      <c r="R8" s="4">
        <v>2610000</v>
      </c>
      <c r="S8" s="4">
        <v>2610000</v>
      </c>
      <c r="T8" s="4">
        <v>2410000</v>
      </c>
      <c r="U8" s="4">
        <v>2410000</v>
      </c>
      <c r="V8" s="6">
        <v>92.337199999999996</v>
      </c>
      <c r="W8" s="4">
        <v>2356517</v>
      </c>
      <c r="X8" s="4">
        <v>2356517</v>
      </c>
      <c r="Y8" s="4">
        <v>2407227.08</v>
      </c>
      <c r="Z8" s="4">
        <v>2407227.08</v>
      </c>
      <c r="AA8" s="4">
        <v>3.4</v>
      </c>
      <c r="AB8" s="6">
        <v>88740</v>
      </c>
      <c r="AC8" s="4">
        <v>88740</v>
      </c>
      <c r="AD8" s="4">
        <v>88740</v>
      </c>
      <c r="AE8" s="6">
        <v>0</v>
      </c>
      <c r="AF8" s="4">
        <v>0</v>
      </c>
      <c r="AG8" s="7">
        <v>0</v>
      </c>
      <c r="AH8" s="2" t="s">
        <v>37</v>
      </c>
      <c r="AI8">
        <v>0</v>
      </c>
      <c r="AJ8" s="3">
        <v>41912.686249999999</v>
      </c>
      <c r="AK8" s="2" t="s">
        <v>2305</v>
      </c>
    </row>
    <row r="9" spans="1:37" x14ac:dyDescent="0.15">
      <c r="A9" s="2" t="s">
        <v>2304</v>
      </c>
      <c r="B9">
        <v>332</v>
      </c>
      <c r="C9" s="3">
        <v>40491</v>
      </c>
      <c r="D9" s="2" t="s">
        <v>37</v>
      </c>
      <c r="E9" s="2" t="s">
        <v>2303</v>
      </c>
      <c r="F9" s="2" t="s">
        <v>38</v>
      </c>
      <c r="G9" s="2" t="s">
        <v>55</v>
      </c>
      <c r="H9" s="2" t="s">
        <v>56</v>
      </c>
      <c r="I9" s="4">
        <v>842038</v>
      </c>
      <c r="J9" s="4">
        <v>0</v>
      </c>
      <c r="K9" s="4">
        <v>0</v>
      </c>
      <c r="L9" s="5"/>
      <c r="M9" s="5">
        <v>3.6</v>
      </c>
      <c r="N9" s="6">
        <v>30313.367999999999</v>
      </c>
      <c r="O9" s="4">
        <v>30313</v>
      </c>
      <c r="P9" s="4">
        <v>30313</v>
      </c>
      <c r="Q9" s="6">
        <v>0.36799999999999999</v>
      </c>
      <c r="R9" s="4">
        <v>700000</v>
      </c>
      <c r="S9" s="4">
        <v>700000</v>
      </c>
      <c r="T9" s="4">
        <v>700000</v>
      </c>
      <c r="U9" s="4">
        <v>700000</v>
      </c>
      <c r="V9" s="6">
        <v>83.131600000000006</v>
      </c>
      <c r="W9" s="4">
        <v>693200</v>
      </c>
      <c r="X9" s="4">
        <v>693200</v>
      </c>
      <c r="Y9" s="4">
        <v>693200</v>
      </c>
      <c r="Z9" s="4">
        <v>693200</v>
      </c>
      <c r="AA9" s="4">
        <v>3.4</v>
      </c>
      <c r="AB9" s="6">
        <v>23800</v>
      </c>
      <c r="AC9" s="4">
        <v>17000</v>
      </c>
      <c r="AD9" s="4">
        <v>17000</v>
      </c>
      <c r="AE9" s="6">
        <v>6800</v>
      </c>
      <c r="AF9" s="4">
        <v>0</v>
      </c>
      <c r="AG9" s="7">
        <v>0</v>
      </c>
      <c r="AH9" s="2" t="s">
        <v>37</v>
      </c>
      <c r="AI9">
        <v>0</v>
      </c>
      <c r="AJ9" s="3">
        <v>41912.686249999999</v>
      </c>
      <c r="AK9" s="2" t="s">
        <v>2302</v>
      </c>
    </row>
    <row r="10" spans="1:37" x14ac:dyDescent="0.15">
      <c r="A10" s="2" t="s">
        <v>2301</v>
      </c>
      <c r="B10">
        <v>19</v>
      </c>
      <c r="C10" s="3">
        <v>40544</v>
      </c>
      <c r="D10" s="2" t="s">
        <v>37</v>
      </c>
      <c r="E10" s="2" t="s">
        <v>2300</v>
      </c>
      <c r="F10" s="2" t="s">
        <v>41</v>
      </c>
      <c r="G10" s="2" t="s">
        <v>57</v>
      </c>
      <c r="H10" s="2" t="s">
        <v>58</v>
      </c>
      <c r="I10" s="4">
        <v>66000</v>
      </c>
      <c r="J10" s="4">
        <v>0</v>
      </c>
      <c r="K10" s="4">
        <v>0</v>
      </c>
      <c r="L10" s="5">
        <v>0</v>
      </c>
      <c r="M10" s="5">
        <v>6.6</v>
      </c>
      <c r="N10" s="6">
        <v>4356</v>
      </c>
      <c r="O10" s="4">
        <v>0</v>
      </c>
      <c r="P10" s="4">
        <v>0</v>
      </c>
      <c r="Q10" s="6">
        <v>4356</v>
      </c>
      <c r="R10" s="4">
        <v>0</v>
      </c>
      <c r="S10" s="4">
        <v>0</v>
      </c>
      <c r="T10" s="4">
        <v>0</v>
      </c>
      <c r="U10" s="4">
        <v>0</v>
      </c>
      <c r="V10" s="6">
        <v>0</v>
      </c>
      <c r="W10" s="4">
        <v>0</v>
      </c>
      <c r="X10" s="4">
        <v>0</v>
      </c>
      <c r="Y10" s="4">
        <v>0</v>
      </c>
      <c r="Z10" s="4">
        <v>0</v>
      </c>
      <c r="AA10" s="4">
        <v>3.4</v>
      </c>
      <c r="AB10" s="6">
        <v>2244</v>
      </c>
      <c r="AC10" s="4">
        <v>0</v>
      </c>
      <c r="AD10" s="4">
        <v>0</v>
      </c>
      <c r="AE10" s="6">
        <v>2244</v>
      </c>
      <c r="AF10" s="4">
        <v>0</v>
      </c>
      <c r="AG10" s="7">
        <v>0</v>
      </c>
      <c r="AH10" s="2" t="s">
        <v>37</v>
      </c>
      <c r="AI10">
        <v>0</v>
      </c>
      <c r="AJ10" s="3">
        <v>41912.6862384259</v>
      </c>
      <c r="AK10" s="2" t="s">
        <v>2299</v>
      </c>
    </row>
    <row r="11" spans="1:37" x14ac:dyDescent="0.15">
      <c r="A11" s="2" t="s">
        <v>2298</v>
      </c>
      <c r="B11">
        <v>23</v>
      </c>
      <c r="C11" s="3">
        <v>40664</v>
      </c>
      <c r="D11" s="2" t="s">
        <v>37</v>
      </c>
      <c r="E11" s="2" t="s">
        <v>2297</v>
      </c>
      <c r="F11" s="2" t="s">
        <v>41</v>
      </c>
      <c r="G11" s="2" t="s">
        <v>59</v>
      </c>
      <c r="H11" s="2" t="s">
        <v>60</v>
      </c>
      <c r="I11" s="4">
        <v>3283372.21</v>
      </c>
      <c r="J11" s="4">
        <v>0</v>
      </c>
      <c r="K11" s="4">
        <v>0</v>
      </c>
      <c r="L11" s="5">
        <v>0</v>
      </c>
      <c r="M11" s="5">
        <v>6.6</v>
      </c>
      <c r="N11" s="6">
        <v>216702.56589999999</v>
      </c>
      <c r="O11" s="4">
        <v>216702.57</v>
      </c>
      <c r="P11" s="4">
        <v>216702.57</v>
      </c>
      <c r="Q11" s="6">
        <v>-4.1000000000000003E-3</v>
      </c>
      <c r="R11" s="4">
        <v>0</v>
      </c>
      <c r="S11" s="4">
        <v>0</v>
      </c>
      <c r="T11" s="4">
        <v>2641685</v>
      </c>
      <c r="U11" s="4">
        <v>2641685</v>
      </c>
      <c r="V11" s="6">
        <v>80.456500000000005</v>
      </c>
      <c r="W11" s="4">
        <v>0</v>
      </c>
      <c r="X11" s="4">
        <v>0</v>
      </c>
      <c r="Y11" s="4">
        <v>0</v>
      </c>
      <c r="Z11" s="4">
        <v>0</v>
      </c>
      <c r="AA11" s="4">
        <v>3.4</v>
      </c>
      <c r="AB11" s="6">
        <v>111634.6551</v>
      </c>
      <c r="AC11" s="4">
        <v>89817.29</v>
      </c>
      <c r="AD11" s="4">
        <v>89817.29</v>
      </c>
      <c r="AE11" s="6">
        <v>21817.365099999999</v>
      </c>
      <c r="AF11" s="4">
        <v>0</v>
      </c>
      <c r="AG11" s="7">
        <v>0</v>
      </c>
      <c r="AH11" s="2" t="s">
        <v>37</v>
      </c>
      <c r="AI11">
        <v>0</v>
      </c>
      <c r="AJ11" s="3">
        <v>41912.6862384259</v>
      </c>
      <c r="AK11" s="2" t="s">
        <v>2296</v>
      </c>
    </row>
    <row r="12" spans="1:37" x14ac:dyDescent="0.15">
      <c r="A12" s="2" t="s">
        <v>2295</v>
      </c>
      <c r="B12">
        <v>341</v>
      </c>
      <c r="C12" s="3">
        <v>40683</v>
      </c>
      <c r="D12" s="2" t="s">
        <v>37</v>
      </c>
      <c r="E12" s="2" t="s">
        <v>2294</v>
      </c>
      <c r="F12" s="2" t="s">
        <v>38</v>
      </c>
      <c r="G12" s="2" t="s">
        <v>1683</v>
      </c>
      <c r="H12" s="2" t="s">
        <v>1682</v>
      </c>
      <c r="I12" s="4"/>
      <c r="J12" s="4">
        <v>0</v>
      </c>
      <c r="K12" s="4">
        <v>0</v>
      </c>
      <c r="L12" s="5"/>
      <c r="M12" s="5"/>
      <c r="N12" s="6"/>
      <c r="O12" s="4">
        <v>0</v>
      </c>
      <c r="P12" s="4">
        <v>0</v>
      </c>
      <c r="Q12" s="6"/>
      <c r="R12" s="4">
        <v>0</v>
      </c>
      <c r="S12" s="4">
        <v>0</v>
      </c>
      <c r="T12" s="4">
        <v>0</v>
      </c>
      <c r="U12" s="4">
        <v>0</v>
      </c>
      <c r="V12" s="6">
        <v>0</v>
      </c>
      <c r="W12" s="4">
        <v>0</v>
      </c>
      <c r="X12" s="4">
        <v>0</v>
      </c>
      <c r="Y12" s="4">
        <v>0</v>
      </c>
      <c r="Z12" s="4">
        <v>0</v>
      </c>
      <c r="AA12" s="4"/>
      <c r="AB12" s="6"/>
      <c r="AC12" s="4">
        <v>0</v>
      </c>
      <c r="AD12" s="4">
        <v>0</v>
      </c>
      <c r="AE12" s="6"/>
      <c r="AF12" s="4">
        <v>0</v>
      </c>
      <c r="AG12" s="7">
        <v>0</v>
      </c>
      <c r="AH12" s="2" t="s">
        <v>37</v>
      </c>
      <c r="AI12">
        <v>0</v>
      </c>
      <c r="AJ12" s="3">
        <v>41912.686249999999</v>
      </c>
      <c r="AK12" s="2" t="s">
        <v>2293</v>
      </c>
    </row>
    <row r="13" spans="1:37" x14ac:dyDescent="0.15">
      <c r="A13" s="2" t="s">
        <v>2292</v>
      </c>
      <c r="B13">
        <v>28</v>
      </c>
      <c r="C13" s="3">
        <v>40725</v>
      </c>
      <c r="D13" s="2" t="s">
        <v>37</v>
      </c>
      <c r="E13" s="2" t="s">
        <v>2291</v>
      </c>
      <c r="F13" s="2" t="s">
        <v>41</v>
      </c>
      <c r="G13" s="2" t="s">
        <v>63</v>
      </c>
      <c r="H13" s="2" t="s">
        <v>60</v>
      </c>
      <c r="I13" s="4">
        <v>665109</v>
      </c>
      <c r="J13" s="4">
        <v>0</v>
      </c>
      <c r="K13" s="4">
        <v>0</v>
      </c>
      <c r="L13" s="5">
        <v>0</v>
      </c>
      <c r="M13" s="5">
        <v>4</v>
      </c>
      <c r="N13" s="6">
        <v>26604.36</v>
      </c>
      <c r="O13" s="4">
        <v>0</v>
      </c>
      <c r="P13" s="4">
        <v>0</v>
      </c>
      <c r="Q13" s="6">
        <v>26604.36</v>
      </c>
      <c r="R13" s="4">
        <v>0</v>
      </c>
      <c r="S13" s="4">
        <v>0</v>
      </c>
      <c r="T13" s="4">
        <v>0</v>
      </c>
      <c r="U13" s="4">
        <v>0</v>
      </c>
      <c r="V13" s="6">
        <v>0</v>
      </c>
      <c r="W13" s="4">
        <v>0</v>
      </c>
      <c r="X13" s="4">
        <v>0</v>
      </c>
      <c r="Y13" s="4">
        <v>0</v>
      </c>
      <c r="Z13" s="4">
        <v>0</v>
      </c>
      <c r="AA13" s="4">
        <v>3.4</v>
      </c>
      <c r="AB13" s="6">
        <v>22613.705999999998</v>
      </c>
      <c r="AC13" s="4">
        <v>0</v>
      </c>
      <c r="AD13" s="4">
        <v>0</v>
      </c>
      <c r="AE13" s="6">
        <v>22613.705999999998</v>
      </c>
      <c r="AF13" s="4">
        <v>0</v>
      </c>
      <c r="AG13" s="7">
        <v>0</v>
      </c>
      <c r="AH13" s="2" t="s">
        <v>37</v>
      </c>
      <c r="AI13">
        <v>0</v>
      </c>
      <c r="AJ13" s="3">
        <v>41912.6862384259</v>
      </c>
      <c r="AK13" s="2" t="s">
        <v>2290</v>
      </c>
    </row>
    <row r="14" spans="1:37" x14ac:dyDescent="0.15">
      <c r="A14" s="2" t="s">
        <v>2289</v>
      </c>
      <c r="B14">
        <v>27</v>
      </c>
      <c r="C14" s="3">
        <v>40725</v>
      </c>
      <c r="D14" s="2" t="s">
        <v>37</v>
      </c>
      <c r="E14" s="2" t="s">
        <v>2288</v>
      </c>
      <c r="F14" s="2" t="s">
        <v>41</v>
      </c>
      <c r="G14" s="2" t="s">
        <v>61</v>
      </c>
      <c r="H14" s="2" t="s">
        <v>62</v>
      </c>
      <c r="I14" s="4">
        <v>7212049</v>
      </c>
      <c r="J14" s="4">
        <v>0</v>
      </c>
      <c r="K14" s="4">
        <v>0</v>
      </c>
      <c r="L14" s="5">
        <v>0</v>
      </c>
      <c r="M14" s="5">
        <v>6.6</v>
      </c>
      <c r="N14" s="6">
        <v>475995.234</v>
      </c>
      <c r="O14" s="4">
        <v>475995.23</v>
      </c>
      <c r="P14" s="4">
        <v>475995.23</v>
      </c>
      <c r="Q14" s="6">
        <v>4.0000000000000001E-3</v>
      </c>
      <c r="R14" s="4">
        <v>0</v>
      </c>
      <c r="S14" s="4">
        <v>0</v>
      </c>
      <c r="T14" s="4">
        <v>6569639.2000000002</v>
      </c>
      <c r="U14" s="4">
        <v>6569639.2000000002</v>
      </c>
      <c r="V14" s="6">
        <v>91.092500000000001</v>
      </c>
      <c r="W14" s="4">
        <v>0</v>
      </c>
      <c r="X14" s="4">
        <v>0</v>
      </c>
      <c r="Y14" s="4">
        <v>0</v>
      </c>
      <c r="Z14" s="4">
        <v>0</v>
      </c>
      <c r="AA14" s="4">
        <v>3.4</v>
      </c>
      <c r="AB14" s="6">
        <v>245209.666</v>
      </c>
      <c r="AC14" s="4">
        <v>223367.73</v>
      </c>
      <c r="AD14" s="4">
        <v>223367.73</v>
      </c>
      <c r="AE14" s="6">
        <v>21841.936000000002</v>
      </c>
      <c r="AF14" s="4">
        <v>0</v>
      </c>
      <c r="AG14" s="7">
        <v>0</v>
      </c>
      <c r="AH14" s="2" t="s">
        <v>37</v>
      </c>
      <c r="AI14">
        <v>0</v>
      </c>
      <c r="AJ14" s="3">
        <v>41912.6862384259</v>
      </c>
      <c r="AK14" s="2" t="s">
        <v>2287</v>
      </c>
    </row>
    <row r="15" spans="1:37" x14ac:dyDescent="0.15">
      <c r="A15" s="2" t="s">
        <v>2286</v>
      </c>
      <c r="B15">
        <v>350</v>
      </c>
      <c r="C15" s="3">
        <v>40828</v>
      </c>
      <c r="D15" s="2" t="s">
        <v>37</v>
      </c>
      <c r="E15" s="2" t="s">
        <v>2285</v>
      </c>
      <c r="F15" s="2" t="s">
        <v>38</v>
      </c>
      <c r="G15" s="2" t="s">
        <v>64</v>
      </c>
      <c r="H15" s="2" t="s">
        <v>65</v>
      </c>
      <c r="I15" s="4">
        <v>21611588</v>
      </c>
      <c r="J15" s="4">
        <v>2802330.83</v>
      </c>
      <c r="K15" s="4">
        <v>2802330.83</v>
      </c>
      <c r="L15" s="5"/>
      <c r="M15" s="5">
        <v>3</v>
      </c>
      <c r="N15" s="6">
        <v>732417.5649</v>
      </c>
      <c r="O15" s="4">
        <v>671920</v>
      </c>
      <c r="P15" s="4">
        <v>671920</v>
      </c>
      <c r="Q15" s="6">
        <v>60497.564899999998</v>
      </c>
      <c r="R15" s="4">
        <v>22758059.469999999</v>
      </c>
      <c r="S15" s="4">
        <v>22758059.469999999</v>
      </c>
      <c r="T15" s="4">
        <v>22758059.469999999</v>
      </c>
      <c r="U15" s="4">
        <v>22758059.469999999</v>
      </c>
      <c r="V15" s="6">
        <v>93.217600000000004</v>
      </c>
      <c r="W15" s="4">
        <v>20358173.620000001</v>
      </c>
      <c r="X15" s="4">
        <v>20358173.620000001</v>
      </c>
      <c r="Y15" s="4">
        <v>21886603.420000002</v>
      </c>
      <c r="Z15" s="4">
        <v>21886603.420000002</v>
      </c>
      <c r="AA15" s="4">
        <v>3.4</v>
      </c>
      <c r="AB15" s="6">
        <v>773774.022</v>
      </c>
      <c r="AC15" s="4">
        <v>773773</v>
      </c>
      <c r="AD15" s="4">
        <v>773773</v>
      </c>
      <c r="AE15" s="6">
        <v>1.022</v>
      </c>
      <c r="AF15" s="4">
        <v>0</v>
      </c>
      <c r="AG15" s="7">
        <v>140</v>
      </c>
      <c r="AH15" s="2" t="s">
        <v>66</v>
      </c>
      <c r="AI15">
        <v>0</v>
      </c>
      <c r="AJ15" s="3">
        <v>41912.686249999999</v>
      </c>
      <c r="AK15" s="2" t="s">
        <v>2284</v>
      </c>
    </row>
    <row r="16" spans="1:37" x14ac:dyDescent="0.15">
      <c r="A16" s="2" t="s">
        <v>2283</v>
      </c>
      <c r="B16">
        <v>374</v>
      </c>
      <c r="C16" s="3">
        <v>40907</v>
      </c>
      <c r="D16" s="2" t="s">
        <v>37</v>
      </c>
      <c r="E16" s="2" t="s">
        <v>2282</v>
      </c>
      <c r="F16" s="2" t="s">
        <v>38</v>
      </c>
      <c r="G16" s="2" t="s">
        <v>67</v>
      </c>
      <c r="H16" s="2" t="s">
        <v>68</v>
      </c>
      <c r="I16" s="4">
        <v>3405024</v>
      </c>
      <c r="J16" s="4">
        <v>0</v>
      </c>
      <c r="K16" s="4">
        <v>0</v>
      </c>
      <c r="L16" s="5"/>
      <c r="M16" s="5">
        <v>3.6</v>
      </c>
      <c r="N16" s="6">
        <v>122580.864</v>
      </c>
      <c r="O16" s="4">
        <v>122581</v>
      </c>
      <c r="P16" s="4">
        <v>122581</v>
      </c>
      <c r="Q16" s="6">
        <v>-0.13600000000000001</v>
      </c>
      <c r="R16" s="4">
        <v>3111296</v>
      </c>
      <c r="S16" s="4">
        <v>3111296</v>
      </c>
      <c r="T16" s="4">
        <v>3111296</v>
      </c>
      <c r="U16" s="4">
        <v>3111296</v>
      </c>
      <c r="V16" s="6">
        <v>91.373699999999999</v>
      </c>
      <c r="W16" s="4">
        <v>2496087.77</v>
      </c>
      <c r="X16" s="4">
        <v>2496087.77</v>
      </c>
      <c r="Y16" s="4">
        <v>3049860.32</v>
      </c>
      <c r="Z16" s="4">
        <v>3049860.32</v>
      </c>
      <c r="AA16" s="4">
        <v>3.4</v>
      </c>
      <c r="AB16" s="6">
        <v>105784.064</v>
      </c>
      <c r="AC16" s="4">
        <v>105784</v>
      </c>
      <c r="AD16" s="4">
        <v>105784</v>
      </c>
      <c r="AE16" s="6">
        <v>6.4000000000000001E-2</v>
      </c>
      <c r="AF16" s="4">
        <v>0</v>
      </c>
      <c r="AG16" s="7">
        <v>36</v>
      </c>
      <c r="AH16" s="2" t="s">
        <v>69</v>
      </c>
      <c r="AI16">
        <v>0</v>
      </c>
      <c r="AJ16" s="3">
        <v>41912.686249999999</v>
      </c>
      <c r="AK16" s="2" t="s">
        <v>2281</v>
      </c>
    </row>
    <row r="17" spans="1:37" x14ac:dyDescent="0.15">
      <c r="A17" s="2" t="s">
        <v>2280</v>
      </c>
      <c r="B17">
        <v>366</v>
      </c>
      <c r="C17" s="3">
        <v>40909</v>
      </c>
      <c r="D17" s="2" t="s">
        <v>37</v>
      </c>
      <c r="E17" s="2" t="s">
        <v>2279</v>
      </c>
      <c r="F17" s="2" t="s">
        <v>38</v>
      </c>
      <c r="G17" s="2" t="s">
        <v>70</v>
      </c>
      <c r="H17" s="2" t="s">
        <v>71</v>
      </c>
      <c r="I17" s="4">
        <v>3098310</v>
      </c>
      <c r="J17" s="4">
        <v>0</v>
      </c>
      <c r="K17" s="4">
        <v>0</v>
      </c>
      <c r="L17" s="5"/>
      <c r="M17" s="5">
        <v>3.6</v>
      </c>
      <c r="N17" s="6">
        <v>111539.16</v>
      </c>
      <c r="O17" s="4">
        <v>111539</v>
      </c>
      <c r="P17" s="4">
        <v>111539</v>
      </c>
      <c r="Q17" s="6">
        <v>0.16</v>
      </c>
      <c r="R17" s="4">
        <v>2463563</v>
      </c>
      <c r="S17" s="4">
        <v>2463563</v>
      </c>
      <c r="T17" s="4">
        <v>2463563</v>
      </c>
      <c r="U17" s="4">
        <v>2463563</v>
      </c>
      <c r="V17" s="6">
        <v>79.513099999999994</v>
      </c>
      <c r="W17" s="4">
        <v>2225711.98</v>
      </c>
      <c r="X17" s="4">
        <v>2225711.98</v>
      </c>
      <c r="Y17" s="4">
        <v>2424472.98</v>
      </c>
      <c r="Z17" s="4">
        <v>2424472.98</v>
      </c>
      <c r="AA17" s="4">
        <v>3.4</v>
      </c>
      <c r="AB17" s="6">
        <v>83761.142000000007</v>
      </c>
      <c r="AC17" s="4">
        <v>83761</v>
      </c>
      <c r="AD17" s="4">
        <v>83761</v>
      </c>
      <c r="AE17" s="6">
        <v>0.14199999999999999</v>
      </c>
      <c r="AF17" s="4">
        <v>0</v>
      </c>
      <c r="AG17" s="7">
        <v>0</v>
      </c>
      <c r="AH17" s="2" t="s">
        <v>37</v>
      </c>
      <c r="AI17">
        <v>0</v>
      </c>
      <c r="AJ17" s="3">
        <v>41912.686249999999</v>
      </c>
      <c r="AK17" s="2" t="s">
        <v>2278</v>
      </c>
    </row>
    <row r="18" spans="1:37" x14ac:dyDescent="0.15">
      <c r="A18" s="2" t="s">
        <v>2277</v>
      </c>
      <c r="B18">
        <v>33</v>
      </c>
      <c r="C18" s="3">
        <v>40909</v>
      </c>
      <c r="D18" s="2" t="s">
        <v>37</v>
      </c>
      <c r="E18" s="2" t="s">
        <v>2276</v>
      </c>
      <c r="F18" s="2" t="s">
        <v>41</v>
      </c>
      <c r="G18" s="2" t="s">
        <v>76</v>
      </c>
      <c r="H18" s="2" t="s">
        <v>77</v>
      </c>
      <c r="I18" s="4">
        <v>10343049.93</v>
      </c>
      <c r="J18" s="4">
        <v>0</v>
      </c>
      <c r="K18" s="4">
        <v>0</v>
      </c>
      <c r="L18" s="5">
        <v>0</v>
      </c>
      <c r="M18" s="5">
        <v>3.5</v>
      </c>
      <c r="N18" s="6">
        <v>362006.7476</v>
      </c>
      <c r="O18" s="4">
        <v>362006.75</v>
      </c>
      <c r="P18" s="4">
        <v>362006.75</v>
      </c>
      <c r="Q18" s="6">
        <v>-2.3999999999999998E-3</v>
      </c>
      <c r="R18" s="4">
        <v>0</v>
      </c>
      <c r="S18" s="4">
        <v>0</v>
      </c>
      <c r="T18" s="4">
        <v>7860688.0099999998</v>
      </c>
      <c r="U18" s="4">
        <v>7860688.0099999998</v>
      </c>
      <c r="V18" s="6">
        <v>75.999700000000004</v>
      </c>
      <c r="W18" s="4">
        <v>0</v>
      </c>
      <c r="X18" s="4">
        <v>0</v>
      </c>
      <c r="Y18" s="4">
        <v>7748729.1299999999</v>
      </c>
      <c r="Z18" s="4">
        <v>7748729.1299999999</v>
      </c>
      <c r="AA18" s="4">
        <v>3.4</v>
      </c>
      <c r="AB18" s="6">
        <v>351663.69760000001</v>
      </c>
      <c r="AC18" s="4">
        <v>111118.8</v>
      </c>
      <c r="AD18" s="4">
        <v>111118.8</v>
      </c>
      <c r="AE18" s="6">
        <v>240544.8976</v>
      </c>
      <c r="AF18" s="4">
        <v>0</v>
      </c>
      <c r="AG18" s="7">
        <v>0</v>
      </c>
      <c r="AH18" s="2" t="s">
        <v>37</v>
      </c>
      <c r="AI18">
        <v>0</v>
      </c>
      <c r="AJ18" s="3">
        <v>41912.6862384259</v>
      </c>
      <c r="AK18" s="2" t="s">
        <v>2275</v>
      </c>
    </row>
    <row r="19" spans="1:37" x14ac:dyDescent="0.15">
      <c r="A19" s="2" t="s">
        <v>2274</v>
      </c>
      <c r="B19">
        <v>385</v>
      </c>
      <c r="C19" s="3">
        <v>40909</v>
      </c>
      <c r="D19" s="2" t="s">
        <v>37</v>
      </c>
      <c r="E19" s="2" t="s">
        <v>2273</v>
      </c>
      <c r="F19" s="2" t="s">
        <v>38</v>
      </c>
      <c r="G19" s="2" t="s">
        <v>74</v>
      </c>
      <c r="H19" s="2" t="s">
        <v>75</v>
      </c>
      <c r="I19" s="4">
        <v>9708632.2599999998</v>
      </c>
      <c r="J19" s="4">
        <v>2846340</v>
      </c>
      <c r="K19" s="4">
        <v>2846340</v>
      </c>
      <c r="L19" s="5"/>
      <c r="M19" s="5">
        <v>3</v>
      </c>
      <c r="N19" s="6">
        <v>376649.1678</v>
      </c>
      <c r="O19" s="4">
        <v>362780</v>
      </c>
      <c r="P19" s="4">
        <v>362780</v>
      </c>
      <c r="Q19" s="6">
        <v>13869.167799999999</v>
      </c>
      <c r="R19" s="4">
        <v>12554972.26</v>
      </c>
      <c r="S19" s="4">
        <v>12554972.26</v>
      </c>
      <c r="T19" s="4">
        <v>11825835.49</v>
      </c>
      <c r="U19" s="4">
        <v>11825835.49</v>
      </c>
      <c r="V19" s="6">
        <v>94.192400000000006</v>
      </c>
      <c r="W19" s="4">
        <v>10650362.279999999</v>
      </c>
      <c r="X19" s="4">
        <v>10650362.279999999</v>
      </c>
      <c r="Y19" s="4">
        <v>11388881.640000001</v>
      </c>
      <c r="Z19" s="4">
        <v>11388881.640000001</v>
      </c>
      <c r="AA19" s="4">
        <v>3.4</v>
      </c>
      <c r="AB19" s="6">
        <v>426869.05680000002</v>
      </c>
      <c r="AC19" s="4">
        <v>426869</v>
      </c>
      <c r="AD19" s="4">
        <v>426869</v>
      </c>
      <c r="AE19" s="6">
        <v>5.6800000000000003E-2</v>
      </c>
      <c r="AF19" s="4">
        <v>0</v>
      </c>
      <c r="AG19" s="7">
        <v>80</v>
      </c>
      <c r="AH19" s="2" t="s">
        <v>52</v>
      </c>
      <c r="AI19">
        <v>0</v>
      </c>
      <c r="AJ19" s="3">
        <v>41912.686249999999</v>
      </c>
      <c r="AK19" s="2" t="s">
        <v>2272</v>
      </c>
    </row>
    <row r="20" spans="1:37" x14ac:dyDescent="0.15">
      <c r="A20" s="2" t="s">
        <v>2271</v>
      </c>
      <c r="B20">
        <v>359</v>
      </c>
      <c r="C20" s="3">
        <v>40909</v>
      </c>
      <c r="D20" s="2" t="s">
        <v>37</v>
      </c>
      <c r="E20" s="2" t="s">
        <v>2270</v>
      </c>
      <c r="F20" s="2" t="s">
        <v>38</v>
      </c>
      <c r="G20" s="2" t="s">
        <v>72</v>
      </c>
      <c r="H20" s="2" t="s">
        <v>73</v>
      </c>
      <c r="I20" s="4">
        <v>1950000</v>
      </c>
      <c r="J20" s="4">
        <v>6281535</v>
      </c>
      <c r="K20" s="4">
        <v>6281535</v>
      </c>
      <c r="L20" s="5"/>
      <c r="M20" s="5">
        <v>3</v>
      </c>
      <c r="N20" s="6">
        <v>246946.05</v>
      </c>
      <c r="O20" s="4">
        <v>229500</v>
      </c>
      <c r="P20" s="4">
        <v>229500</v>
      </c>
      <c r="Q20" s="6">
        <v>17446.05</v>
      </c>
      <c r="R20" s="4">
        <v>8231535</v>
      </c>
      <c r="S20" s="4">
        <v>8231535</v>
      </c>
      <c r="T20" s="4">
        <v>8231535</v>
      </c>
      <c r="U20" s="4">
        <v>8231535</v>
      </c>
      <c r="V20" s="6">
        <v>100</v>
      </c>
      <c r="W20" s="4">
        <v>7143200</v>
      </c>
      <c r="X20" s="4">
        <v>7143200</v>
      </c>
      <c r="Y20" s="4">
        <v>8223072</v>
      </c>
      <c r="Z20" s="4">
        <v>8223072</v>
      </c>
      <c r="AA20" s="4">
        <v>3.4</v>
      </c>
      <c r="AB20" s="6">
        <v>279872.19</v>
      </c>
      <c r="AC20" s="4">
        <v>279872</v>
      </c>
      <c r="AD20" s="4">
        <v>279872</v>
      </c>
      <c r="AE20" s="6">
        <v>0.19</v>
      </c>
      <c r="AF20" s="4">
        <v>0</v>
      </c>
      <c r="AG20" s="7">
        <v>5</v>
      </c>
      <c r="AH20" s="2" t="s">
        <v>52</v>
      </c>
      <c r="AI20">
        <v>0</v>
      </c>
      <c r="AJ20" s="3">
        <v>41912.686249999999</v>
      </c>
      <c r="AK20" s="2" t="s">
        <v>2269</v>
      </c>
    </row>
    <row r="21" spans="1:37" x14ac:dyDescent="0.15">
      <c r="A21" s="2" t="s">
        <v>2268</v>
      </c>
      <c r="B21">
        <v>395</v>
      </c>
      <c r="C21" s="3">
        <v>40940</v>
      </c>
      <c r="D21" s="2" t="s">
        <v>37</v>
      </c>
      <c r="E21" s="2" t="s">
        <v>2267</v>
      </c>
      <c r="F21" s="2" t="s">
        <v>38</v>
      </c>
      <c r="G21" s="2" t="s">
        <v>78</v>
      </c>
      <c r="H21" s="2" t="s">
        <v>79</v>
      </c>
      <c r="I21" s="4">
        <v>14568703.880000001</v>
      </c>
      <c r="J21" s="4">
        <v>651269</v>
      </c>
      <c r="K21" s="4">
        <v>651269</v>
      </c>
      <c r="L21" s="5"/>
      <c r="M21" s="5">
        <v>3</v>
      </c>
      <c r="N21" s="6">
        <v>456599.18640000001</v>
      </c>
      <c r="O21" s="4">
        <v>437061</v>
      </c>
      <c r="P21" s="4">
        <v>437061</v>
      </c>
      <c r="Q21" s="6">
        <v>19538.186399999999</v>
      </c>
      <c r="R21" s="4">
        <v>11975108</v>
      </c>
      <c r="S21" s="4">
        <v>11975108</v>
      </c>
      <c r="T21" s="4">
        <v>11054072</v>
      </c>
      <c r="U21" s="4">
        <v>11054072</v>
      </c>
      <c r="V21" s="6">
        <v>72.628699999999995</v>
      </c>
      <c r="W21" s="4">
        <v>10047825.75</v>
      </c>
      <c r="X21" s="4">
        <v>10047825.75</v>
      </c>
      <c r="Y21" s="4">
        <v>10958979.75</v>
      </c>
      <c r="Z21" s="4">
        <v>10958979.75</v>
      </c>
      <c r="AA21" s="4">
        <v>3.4</v>
      </c>
      <c r="AB21" s="6">
        <v>407153.67200000002</v>
      </c>
      <c r="AC21" s="4">
        <v>407154</v>
      </c>
      <c r="AD21" s="4">
        <v>407154</v>
      </c>
      <c r="AE21" s="6">
        <v>-0.32800000000000001</v>
      </c>
      <c r="AF21" s="4">
        <v>0</v>
      </c>
      <c r="AG21" s="7">
        <v>220</v>
      </c>
      <c r="AH21" s="2" t="s">
        <v>80</v>
      </c>
      <c r="AI21">
        <v>0</v>
      </c>
      <c r="AJ21" s="3">
        <v>41912.686249999999</v>
      </c>
      <c r="AK21" s="2" t="s">
        <v>2266</v>
      </c>
    </row>
    <row r="22" spans="1:37" x14ac:dyDescent="0.15">
      <c r="A22" s="2" t="s">
        <v>2265</v>
      </c>
      <c r="B22">
        <v>419</v>
      </c>
      <c r="C22" s="3">
        <v>40940</v>
      </c>
      <c r="D22" s="2" t="s">
        <v>37</v>
      </c>
      <c r="E22" s="2" t="s">
        <v>2264</v>
      </c>
      <c r="F22" s="2" t="s">
        <v>38</v>
      </c>
      <c r="G22" s="2" t="s">
        <v>81</v>
      </c>
      <c r="H22" s="2" t="s">
        <v>82</v>
      </c>
      <c r="I22" s="4">
        <v>20000000</v>
      </c>
      <c r="J22" s="4">
        <v>0</v>
      </c>
      <c r="K22" s="4">
        <v>0</v>
      </c>
      <c r="L22" s="5"/>
      <c r="M22" s="5">
        <v>3.5</v>
      </c>
      <c r="N22" s="6">
        <v>700000</v>
      </c>
      <c r="O22" s="4">
        <v>700000</v>
      </c>
      <c r="P22" s="4">
        <v>700000</v>
      </c>
      <c r="Q22" s="6">
        <v>0</v>
      </c>
      <c r="R22" s="4">
        <v>18500000</v>
      </c>
      <c r="S22" s="4">
        <v>18500000</v>
      </c>
      <c r="T22" s="4">
        <v>17500000</v>
      </c>
      <c r="U22" s="4">
        <v>17500000</v>
      </c>
      <c r="V22" s="6">
        <v>87.5</v>
      </c>
      <c r="W22" s="4">
        <v>16533332.5</v>
      </c>
      <c r="X22" s="4">
        <v>16533332.5</v>
      </c>
      <c r="Y22" s="4">
        <v>17306886.41</v>
      </c>
      <c r="Z22" s="4">
        <v>17306886.41</v>
      </c>
      <c r="AA22" s="4">
        <v>3.4</v>
      </c>
      <c r="AB22" s="6">
        <v>629000</v>
      </c>
      <c r="AC22" s="4">
        <v>629000</v>
      </c>
      <c r="AD22" s="4">
        <v>629000</v>
      </c>
      <c r="AE22" s="6">
        <v>0</v>
      </c>
      <c r="AF22" s="4">
        <v>0</v>
      </c>
      <c r="AG22" s="7">
        <v>0</v>
      </c>
      <c r="AH22" s="2" t="s">
        <v>37</v>
      </c>
      <c r="AI22">
        <v>0</v>
      </c>
      <c r="AJ22" s="3">
        <v>41912.686249999999</v>
      </c>
      <c r="AK22" s="2" t="s">
        <v>2263</v>
      </c>
    </row>
    <row r="23" spans="1:37" x14ac:dyDescent="0.15">
      <c r="A23" s="2" t="s">
        <v>2262</v>
      </c>
      <c r="B23">
        <v>404</v>
      </c>
      <c r="C23" s="3">
        <v>40940</v>
      </c>
      <c r="D23" s="2" t="s">
        <v>37</v>
      </c>
      <c r="E23" s="2" t="s">
        <v>2261</v>
      </c>
      <c r="F23" s="2" t="s">
        <v>38</v>
      </c>
      <c r="G23" s="2" t="s">
        <v>85</v>
      </c>
      <c r="H23" s="2" t="s">
        <v>86</v>
      </c>
      <c r="I23" s="4">
        <v>20000000</v>
      </c>
      <c r="J23" s="4">
        <v>5102771</v>
      </c>
      <c r="K23" s="4">
        <v>5102771</v>
      </c>
      <c r="L23" s="5">
        <v>25102771</v>
      </c>
      <c r="M23" s="5">
        <v>3</v>
      </c>
      <c r="N23" s="6">
        <v>753083.13</v>
      </c>
      <c r="O23" s="4">
        <v>753083</v>
      </c>
      <c r="P23" s="4">
        <v>753083</v>
      </c>
      <c r="Q23" s="6">
        <v>0.13</v>
      </c>
      <c r="R23" s="4">
        <v>23847632.449999999</v>
      </c>
      <c r="S23" s="4">
        <v>23847632.449999999</v>
      </c>
      <c r="T23" s="4">
        <v>23847632.449999999</v>
      </c>
      <c r="U23" s="4">
        <v>23847632.449999999</v>
      </c>
      <c r="V23" s="6">
        <v>95</v>
      </c>
      <c r="W23" s="4">
        <v>23095725.170000002</v>
      </c>
      <c r="X23" s="4">
        <v>23095725.170000002</v>
      </c>
      <c r="Y23" s="4">
        <v>23847632.170000002</v>
      </c>
      <c r="Z23" s="4">
        <v>23847632.170000002</v>
      </c>
      <c r="AA23" s="4">
        <v>3.4</v>
      </c>
      <c r="AB23" s="6">
        <v>810819.50329999998</v>
      </c>
      <c r="AC23" s="4">
        <v>810820</v>
      </c>
      <c r="AD23" s="4">
        <v>810820</v>
      </c>
      <c r="AE23" s="6">
        <v>-0.49669999999999997</v>
      </c>
      <c r="AF23" s="4">
        <v>0</v>
      </c>
      <c r="AG23" s="7">
        <v>50</v>
      </c>
      <c r="AH23" s="2" t="s">
        <v>66</v>
      </c>
      <c r="AI23">
        <v>0</v>
      </c>
      <c r="AJ23" s="3">
        <v>41912.686249999999</v>
      </c>
      <c r="AK23" s="2" t="s">
        <v>2260</v>
      </c>
    </row>
    <row r="24" spans="1:37" x14ac:dyDescent="0.15">
      <c r="A24" s="2" t="s">
        <v>2259</v>
      </c>
      <c r="B24">
        <v>411</v>
      </c>
      <c r="C24" s="3">
        <v>40940</v>
      </c>
      <c r="D24" s="2" t="s">
        <v>37</v>
      </c>
      <c r="E24" s="2" t="s">
        <v>2258</v>
      </c>
      <c r="F24" s="2" t="s">
        <v>38</v>
      </c>
      <c r="G24" s="2" t="s">
        <v>87</v>
      </c>
      <c r="H24" s="2" t="s">
        <v>88</v>
      </c>
      <c r="I24" s="4">
        <v>33000000</v>
      </c>
      <c r="J24" s="4">
        <v>0</v>
      </c>
      <c r="K24" s="4">
        <v>0</v>
      </c>
      <c r="L24" s="5"/>
      <c r="M24" s="5">
        <v>3.5</v>
      </c>
      <c r="N24" s="6">
        <v>1155000</v>
      </c>
      <c r="O24" s="4">
        <v>1155000</v>
      </c>
      <c r="P24" s="4">
        <v>1155000</v>
      </c>
      <c r="Q24" s="6">
        <v>0</v>
      </c>
      <c r="R24" s="4">
        <v>22720000</v>
      </c>
      <c r="S24" s="4">
        <v>22720000</v>
      </c>
      <c r="T24" s="4">
        <v>21720000</v>
      </c>
      <c r="U24" s="4">
        <v>21720000</v>
      </c>
      <c r="V24" s="6">
        <v>65.818200000000004</v>
      </c>
      <c r="W24" s="4">
        <v>19634904.469999999</v>
      </c>
      <c r="X24" s="4">
        <v>19634904.469999999</v>
      </c>
      <c r="Y24" s="4">
        <v>21702791.469999999</v>
      </c>
      <c r="Z24" s="4">
        <v>21702791.469999999</v>
      </c>
      <c r="AA24" s="4">
        <v>3.4</v>
      </c>
      <c r="AB24" s="6">
        <v>772480</v>
      </c>
      <c r="AC24" s="4">
        <v>772480</v>
      </c>
      <c r="AD24" s="4">
        <v>772480</v>
      </c>
      <c r="AE24" s="6">
        <v>0</v>
      </c>
      <c r="AF24" s="4">
        <v>0</v>
      </c>
      <c r="AG24" s="7">
        <v>0</v>
      </c>
      <c r="AH24" s="2" t="s">
        <v>37</v>
      </c>
      <c r="AI24">
        <v>0</v>
      </c>
      <c r="AJ24" s="3">
        <v>41912.686249999999</v>
      </c>
      <c r="AK24" s="2" t="s">
        <v>2257</v>
      </c>
    </row>
    <row r="25" spans="1:37" x14ac:dyDescent="0.15">
      <c r="A25" s="2" t="s">
        <v>2256</v>
      </c>
      <c r="B25">
        <v>38</v>
      </c>
      <c r="C25" s="3">
        <v>40940</v>
      </c>
      <c r="D25" s="2" t="s">
        <v>37</v>
      </c>
      <c r="E25" s="2" t="s">
        <v>2255</v>
      </c>
      <c r="F25" s="2" t="s">
        <v>41</v>
      </c>
      <c r="G25" s="2" t="s">
        <v>83</v>
      </c>
      <c r="H25" s="2" t="s">
        <v>84</v>
      </c>
      <c r="I25" s="4">
        <v>90000</v>
      </c>
      <c r="J25" s="4">
        <v>0</v>
      </c>
      <c r="K25" s="4">
        <v>0</v>
      </c>
      <c r="L25" s="5">
        <v>0</v>
      </c>
      <c r="M25" s="5">
        <v>6.4</v>
      </c>
      <c r="N25" s="6">
        <v>5760</v>
      </c>
      <c r="O25" s="4">
        <v>5760</v>
      </c>
      <c r="P25" s="4">
        <v>5760</v>
      </c>
      <c r="Q25" s="6">
        <v>0</v>
      </c>
      <c r="R25" s="4">
        <v>0</v>
      </c>
      <c r="S25" s="4">
        <v>0</v>
      </c>
      <c r="T25" s="4">
        <v>72000</v>
      </c>
      <c r="U25" s="4">
        <v>72000</v>
      </c>
      <c r="V25" s="6">
        <v>80</v>
      </c>
      <c r="W25" s="4">
        <v>0</v>
      </c>
      <c r="X25" s="4">
        <v>0</v>
      </c>
      <c r="Y25" s="4">
        <v>66960</v>
      </c>
      <c r="Z25" s="4">
        <v>66960</v>
      </c>
      <c r="AA25" s="4">
        <v>5.6</v>
      </c>
      <c r="AB25" s="6">
        <v>5040</v>
      </c>
      <c r="AC25" s="4">
        <v>5040</v>
      </c>
      <c r="AD25" s="4">
        <v>5040</v>
      </c>
      <c r="AE25" s="6">
        <v>0</v>
      </c>
      <c r="AF25" s="4">
        <v>0</v>
      </c>
      <c r="AG25" s="7">
        <v>0</v>
      </c>
      <c r="AH25" s="2" t="s">
        <v>37</v>
      </c>
      <c r="AI25">
        <v>0</v>
      </c>
      <c r="AJ25" s="3">
        <v>41912.6862384259</v>
      </c>
      <c r="AK25" s="2" t="s">
        <v>2254</v>
      </c>
    </row>
    <row r="26" spans="1:37" x14ac:dyDescent="0.15">
      <c r="A26" s="2" t="s">
        <v>2253</v>
      </c>
      <c r="B26">
        <v>43</v>
      </c>
      <c r="C26" s="3">
        <v>40969</v>
      </c>
      <c r="D26" s="2" t="s">
        <v>37</v>
      </c>
      <c r="E26" s="2" t="s">
        <v>2252</v>
      </c>
      <c r="F26" s="2" t="s">
        <v>41</v>
      </c>
      <c r="G26" s="2" t="s">
        <v>91</v>
      </c>
      <c r="H26" s="2" t="s">
        <v>92</v>
      </c>
      <c r="I26" s="4">
        <v>552000</v>
      </c>
      <c r="J26" s="4">
        <v>0</v>
      </c>
      <c r="K26" s="4">
        <v>0</v>
      </c>
      <c r="L26" s="5">
        <v>0</v>
      </c>
      <c r="M26" s="5">
        <v>8.6</v>
      </c>
      <c r="N26" s="6">
        <v>47472</v>
      </c>
      <c r="O26" s="4">
        <v>41668.089999999997</v>
      </c>
      <c r="P26" s="4">
        <v>41668.089999999997</v>
      </c>
      <c r="Q26" s="6">
        <v>5803.91</v>
      </c>
      <c r="R26" s="4">
        <v>0</v>
      </c>
      <c r="S26" s="4">
        <v>0</v>
      </c>
      <c r="T26" s="4">
        <v>496800</v>
      </c>
      <c r="U26" s="4">
        <v>496800</v>
      </c>
      <c r="V26" s="6">
        <v>90</v>
      </c>
      <c r="W26" s="4">
        <v>0</v>
      </c>
      <c r="X26" s="4">
        <v>0</v>
      </c>
      <c r="Y26" s="4">
        <v>480537</v>
      </c>
      <c r="Z26" s="4">
        <v>480537</v>
      </c>
      <c r="AA26" s="4"/>
      <c r="AB26" s="6">
        <v>16263.2</v>
      </c>
      <c r="AC26" s="4">
        <v>16263.2</v>
      </c>
      <c r="AD26" s="4">
        <v>16263.2</v>
      </c>
      <c r="AE26" s="6">
        <v>0</v>
      </c>
      <c r="AF26" s="4">
        <v>0</v>
      </c>
      <c r="AG26" s="7">
        <v>0</v>
      </c>
      <c r="AH26" s="2" t="s">
        <v>37</v>
      </c>
      <c r="AI26">
        <v>0</v>
      </c>
      <c r="AJ26" s="3">
        <v>41912.6862384259</v>
      </c>
      <c r="AK26" s="2" t="s">
        <v>2251</v>
      </c>
    </row>
    <row r="27" spans="1:37" x14ac:dyDescent="0.15">
      <c r="A27" s="2" t="s">
        <v>2250</v>
      </c>
      <c r="B27">
        <v>428</v>
      </c>
      <c r="C27" s="3">
        <v>40969</v>
      </c>
      <c r="D27" s="2" t="s">
        <v>37</v>
      </c>
      <c r="E27" s="2" t="s">
        <v>2249</v>
      </c>
      <c r="F27" s="2" t="s">
        <v>38</v>
      </c>
      <c r="G27" s="2" t="s">
        <v>89</v>
      </c>
      <c r="H27" s="2" t="s">
        <v>90</v>
      </c>
      <c r="I27" s="4">
        <v>15000000</v>
      </c>
      <c r="J27" s="4">
        <v>60000</v>
      </c>
      <c r="K27" s="4">
        <v>60000</v>
      </c>
      <c r="L27" s="5"/>
      <c r="M27" s="5">
        <v>3</v>
      </c>
      <c r="N27" s="6">
        <v>451800</v>
      </c>
      <c r="O27" s="4">
        <v>450000</v>
      </c>
      <c r="P27" s="4">
        <v>450000</v>
      </c>
      <c r="Q27" s="6">
        <v>1800</v>
      </c>
      <c r="R27" s="4">
        <v>12400000</v>
      </c>
      <c r="S27" s="4">
        <v>12400000</v>
      </c>
      <c r="T27" s="4">
        <v>12400000</v>
      </c>
      <c r="U27" s="4">
        <v>12400000</v>
      </c>
      <c r="V27" s="6">
        <v>82.337299999999999</v>
      </c>
      <c r="W27" s="4">
        <v>12114323.560000001</v>
      </c>
      <c r="X27" s="4">
        <v>12114323.560000001</v>
      </c>
      <c r="Y27" s="4">
        <v>12399923.560000001</v>
      </c>
      <c r="Z27" s="4">
        <v>12399923.560000001</v>
      </c>
      <c r="AA27" s="4">
        <v>3.4</v>
      </c>
      <c r="AB27" s="6">
        <v>421600</v>
      </c>
      <c r="AC27" s="4">
        <v>421600</v>
      </c>
      <c r="AD27" s="4">
        <v>421600</v>
      </c>
      <c r="AE27" s="6">
        <v>0</v>
      </c>
      <c r="AF27" s="4">
        <v>0</v>
      </c>
      <c r="AG27" s="7">
        <v>25</v>
      </c>
      <c r="AH27" s="2" t="s">
        <v>52</v>
      </c>
      <c r="AI27">
        <v>0</v>
      </c>
      <c r="AJ27" s="3">
        <v>41912.686249999999</v>
      </c>
      <c r="AK27" s="2" t="s">
        <v>2248</v>
      </c>
    </row>
    <row r="28" spans="1:37" x14ac:dyDescent="0.15">
      <c r="A28" s="2" t="s">
        <v>2247</v>
      </c>
      <c r="B28">
        <v>438</v>
      </c>
      <c r="C28" s="3">
        <v>40988</v>
      </c>
      <c r="D28" s="2" t="s">
        <v>37</v>
      </c>
      <c r="E28" s="2" t="s">
        <v>2246</v>
      </c>
      <c r="F28" s="2" t="s">
        <v>38</v>
      </c>
      <c r="G28" s="2" t="s">
        <v>93</v>
      </c>
      <c r="H28" s="2" t="s">
        <v>94</v>
      </c>
      <c r="I28" s="4">
        <v>1523208.31</v>
      </c>
      <c r="J28" s="4">
        <v>0</v>
      </c>
      <c r="K28" s="4">
        <v>0</v>
      </c>
      <c r="L28" s="5"/>
      <c r="M28" s="5">
        <v>3.6</v>
      </c>
      <c r="N28" s="6">
        <v>54835.499199999998</v>
      </c>
      <c r="O28" s="4">
        <v>54835.5</v>
      </c>
      <c r="P28" s="4">
        <v>54835.5</v>
      </c>
      <c r="Q28" s="6">
        <v>-8.0000000000000004E-4</v>
      </c>
      <c r="R28" s="4">
        <v>1294727.06</v>
      </c>
      <c r="S28" s="4">
        <v>1294727.06</v>
      </c>
      <c r="T28" s="4">
        <v>1294727.06</v>
      </c>
      <c r="U28" s="4">
        <v>1294727.06</v>
      </c>
      <c r="V28" s="6">
        <v>85</v>
      </c>
      <c r="W28" s="4">
        <v>1049652.07</v>
      </c>
      <c r="X28" s="4">
        <v>1049652.07</v>
      </c>
      <c r="Y28" s="4">
        <v>1294623.48</v>
      </c>
      <c r="Z28" s="4">
        <v>1294623.48</v>
      </c>
      <c r="AA28" s="4">
        <v>3.4</v>
      </c>
      <c r="AB28" s="6">
        <v>44020.72</v>
      </c>
      <c r="AC28" s="4">
        <v>44021</v>
      </c>
      <c r="AD28" s="4">
        <v>44021</v>
      </c>
      <c r="AE28" s="6">
        <v>-0.28000000000000003</v>
      </c>
      <c r="AF28" s="4">
        <v>0</v>
      </c>
      <c r="AG28" s="7">
        <v>20</v>
      </c>
      <c r="AH28" s="2" t="s">
        <v>66</v>
      </c>
      <c r="AI28">
        <v>0</v>
      </c>
      <c r="AJ28" s="3">
        <v>41912.686249999999</v>
      </c>
      <c r="AK28" s="2" t="s">
        <v>2245</v>
      </c>
    </row>
    <row r="29" spans="1:37" x14ac:dyDescent="0.15">
      <c r="A29" s="2" t="s">
        <v>2244</v>
      </c>
      <c r="B29">
        <v>447</v>
      </c>
      <c r="C29" s="3">
        <v>40988</v>
      </c>
      <c r="D29" s="2" t="s">
        <v>37</v>
      </c>
      <c r="E29" s="2" t="s">
        <v>2243</v>
      </c>
      <c r="F29" s="2" t="s">
        <v>38</v>
      </c>
      <c r="G29" s="2" t="s">
        <v>95</v>
      </c>
      <c r="H29" s="2" t="s">
        <v>96</v>
      </c>
      <c r="I29" s="4">
        <v>3701841.55</v>
      </c>
      <c r="J29" s="4">
        <v>4570557.6500000004</v>
      </c>
      <c r="K29" s="4">
        <v>4570557.6500000004</v>
      </c>
      <c r="L29" s="5"/>
      <c r="M29" s="5">
        <v>3</v>
      </c>
      <c r="N29" s="6">
        <v>248171.976</v>
      </c>
      <c r="O29" s="4">
        <v>248172</v>
      </c>
      <c r="P29" s="4">
        <v>248172</v>
      </c>
      <c r="Q29" s="6">
        <v>-2.4E-2</v>
      </c>
      <c r="R29" s="4">
        <v>7316811.7300000004</v>
      </c>
      <c r="S29" s="4">
        <v>7316811.7300000004</v>
      </c>
      <c r="T29" s="4">
        <v>7294401.4500000002</v>
      </c>
      <c r="U29" s="4">
        <v>7294401.4500000002</v>
      </c>
      <c r="V29" s="6">
        <v>88.177599999999998</v>
      </c>
      <c r="W29" s="4">
        <v>6832563.96</v>
      </c>
      <c r="X29" s="4">
        <v>6832563.96</v>
      </c>
      <c r="Y29" s="4">
        <v>7155469.46</v>
      </c>
      <c r="Z29" s="4">
        <v>7155469.46</v>
      </c>
      <c r="AA29" s="4">
        <v>3.4</v>
      </c>
      <c r="AB29" s="6">
        <v>248771.59880000001</v>
      </c>
      <c r="AC29" s="4">
        <v>248773</v>
      </c>
      <c r="AD29" s="4">
        <v>248773</v>
      </c>
      <c r="AE29" s="6">
        <v>-1.4012</v>
      </c>
      <c r="AF29" s="4">
        <v>0</v>
      </c>
      <c r="AG29" s="7">
        <v>57</v>
      </c>
      <c r="AH29" s="2" t="s">
        <v>97</v>
      </c>
      <c r="AI29">
        <v>0</v>
      </c>
      <c r="AJ29" s="3">
        <v>41912.686249999999</v>
      </c>
      <c r="AK29" s="2" t="s">
        <v>2242</v>
      </c>
    </row>
    <row r="30" spans="1:37" x14ac:dyDescent="0.15">
      <c r="A30" s="2" t="s">
        <v>2241</v>
      </c>
      <c r="B30">
        <v>455</v>
      </c>
      <c r="C30" s="3">
        <v>40989</v>
      </c>
      <c r="D30" s="2" t="s">
        <v>37</v>
      </c>
      <c r="E30" s="2" t="s">
        <v>2240</v>
      </c>
      <c r="F30" s="2" t="s">
        <v>38</v>
      </c>
      <c r="G30" s="2" t="s">
        <v>98</v>
      </c>
      <c r="H30" s="2" t="s">
        <v>99</v>
      </c>
      <c r="I30" s="4">
        <v>5578834.2999999998</v>
      </c>
      <c r="J30" s="4">
        <v>0</v>
      </c>
      <c r="K30" s="4">
        <v>0</v>
      </c>
      <c r="L30" s="5"/>
      <c r="M30" s="5">
        <v>3.6</v>
      </c>
      <c r="N30" s="6">
        <v>200838.03479999999</v>
      </c>
      <c r="O30" s="4">
        <v>200838</v>
      </c>
      <c r="P30" s="4">
        <v>200838</v>
      </c>
      <c r="Q30" s="6">
        <v>3.4799999999999998E-2</v>
      </c>
      <c r="R30" s="4">
        <v>3416000</v>
      </c>
      <c r="S30" s="4">
        <v>3416000</v>
      </c>
      <c r="T30" s="4">
        <v>3416000</v>
      </c>
      <c r="U30" s="4">
        <v>3416000</v>
      </c>
      <c r="V30" s="6">
        <v>61.231400000000001</v>
      </c>
      <c r="W30" s="4">
        <v>3252562.45</v>
      </c>
      <c r="X30" s="4">
        <v>3252562.45</v>
      </c>
      <c r="Y30" s="4">
        <v>3409775.64</v>
      </c>
      <c r="Z30" s="4">
        <v>3409775.64</v>
      </c>
      <c r="AA30" s="4">
        <v>3.4</v>
      </c>
      <c r="AB30" s="6">
        <v>116144</v>
      </c>
      <c r="AC30" s="4">
        <v>116144</v>
      </c>
      <c r="AD30" s="4">
        <v>116144</v>
      </c>
      <c r="AE30" s="6">
        <v>0</v>
      </c>
      <c r="AF30" s="4">
        <v>0</v>
      </c>
      <c r="AG30" s="7">
        <v>64</v>
      </c>
      <c r="AH30" s="2" t="s">
        <v>100</v>
      </c>
      <c r="AI30">
        <v>0</v>
      </c>
      <c r="AJ30" s="3">
        <v>41912.686249999999</v>
      </c>
      <c r="AK30" s="2" t="s">
        <v>2239</v>
      </c>
    </row>
    <row r="31" spans="1:37" x14ac:dyDescent="0.15">
      <c r="A31" s="2" t="s">
        <v>2238</v>
      </c>
      <c r="B31">
        <v>463</v>
      </c>
      <c r="C31" s="3">
        <v>40998</v>
      </c>
      <c r="D31" s="2" t="s">
        <v>37</v>
      </c>
      <c r="E31" s="2" t="s">
        <v>2237</v>
      </c>
      <c r="F31" s="2" t="s">
        <v>38</v>
      </c>
      <c r="G31" s="2" t="s">
        <v>101</v>
      </c>
      <c r="H31" s="2" t="s">
        <v>102</v>
      </c>
      <c r="I31" s="4">
        <v>5045600</v>
      </c>
      <c r="J31" s="4">
        <v>118800</v>
      </c>
      <c r="K31" s="4">
        <v>118800</v>
      </c>
      <c r="L31" s="5"/>
      <c r="M31" s="5">
        <v>3.6</v>
      </c>
      <c r="N31" s="6">
        <v>185918.4</v>
      </c>
      <c r="O31" s="4">
        <v>185919.85</v>
      </c>
      <c r="P31" s="4">
        <v>185919.85</v>
      </c>
      <c r="Q31" s="6">
        <v>-1.45</v>
      </c>
      <c r="R31" s="4">
        <v>4624200</v>
      </c>
      <c r="S31" s="4">
        <v>4624200</v>
      </c>
      <c r="T31" s="4">
        <v>4737414.8600000003</v>
      </c>
      <c r="U31" s="4">
        <v>4737414.8600000003</v>
      </c>
      <c r="V31" s="6">
        <v>91.732100000000003</v>
      </c>
      <c r="W31" s="4">
        <v>4276212.79</v>
      </c>
      <c r="X31" s="4">
        <v>4276212.79</v>
      </c>
      <c r="Y31" s="4">
        <v>4737414.8600000003</v>
      </c>
      <c r="Z31" s="4">
        <v>4737414.8600000003</v>
      </c>
      <c r="AA31" s="4"/>
      <c r="AB31" s="6"/>
      <c r="AC31" s="4">
        <v>0</v>
      </c>
      <c r="AD31" s="4">
        <v>0</v>
      </c>
      <c r="AE31" s="6"/>
      <c r="AF31" s="4">
        <v>0</v>
      </c>
      <c r="AG31" s="7">
        <v>54</v>
      </c>
      <c r="AH31" s="2" t="s">
        <v>103</v>
      </c>
      <c r="AI31">
        <v>0</v>
      </c>
      <c r="AJ31" s="3">
        <v>41912.686249999999</v>
      </c>
      <c r="AK31" s="2" t="s">
        <v>2236</v>
      </c>
    </row>
    <row r="32" spans="1:37" x14ac:dyDescent="0.15">
      <c r="A32" s="2" t="s">
        <v>2235</v>
      </c>
      <c r="B32">
        <v>479</v>
      </c>
      <c r="C32" s="3">
        <v>41000</v>
      </c>
      <c r="D32" s="2" t="s">
        <v>37</v>
      </c>
      <c r="E32" s="2" t="s">
        <v>2234</v>
      </c>
      <c r="F32" s="2" t="s">
        <v>38</v>
      </c>
      <c r="G32" s="2" t="s">
        <v>108</v>
      </c>
      <c r="H32" s="2" t="s">
        <v>109</v>
      </c>
      <c r="I32" s="4">
        <v>416950</v>
      </c>
      <c r="J32" s="4">
        <v>36973.599999999999</v>
      </c>
      <c r="K32" s="4">
        <v>36973.599999999999</v>
      </c>
      <c r="L32" s="5">
        <v>453923.6</v>
      </c>
      <c r="M32" s="5">
        <v>3.6</v>
      </c>
      <c r="N32" s="6">
        <v>16341.249599999999</v>
      </c>
      <c r="O32" s="4">
        <v>15010</v>
      </c>
      <c r="P32" s="4">
        <v>15010</v>
      </c>
      <c r="Q32" s="6">
        <v>1331.2496000000001</v>
      </c>
      <c r="R32" s="4">
        <v>431228</v>
      </c>
      <c r="S32" s="4">
        <v>431228</v>
      </c>
      <c r="T32" s="4">
        <v>431228</v>
      </c>
      <c r="U32" s="4">
        <v>431228</v>
      </c>
      <c r="V32" s="6">
        <v>95.000100000000003</v>
      </c>
      <c r="W32" s="4">
        <v>255500</v>
      </c>
      <c r="X32" s="4">
        <v>255500</v>
      </c>
      <c r="Y32" s="4">
        <v>427020</v>
      </c>
      <c r="Z32" s="4">
        <v>427020</v>
      </c>
      <c r="AA32" s="4">
        <v>3.4</v>
      </c>
      <c r="AB32" s="6">
        <v>14661.752</v>
      </c>
      <c r="AC32" s="4">
        <v>14662</v>
      </c>
      <c r="AD32" s="4">
        <v>14662</v>
      </c>
      <c r="AE32" s="6">
        <v>-0.248</v>
      </c>
      <c r="AF32" s="4">
        <v>0</v>
      </c>
      <c r="AG32" s="7">
        <v>0</v>
      </c>
      <c r="AH32" s="2" t="s">
        <v>37</v>
      </c>
      <c r="AI32">
        <v>0</v>
      </c>
      <c r="AJ32" s="3">
        <v>41912.686249999999</v>
      </c>
      <c r="AK32" s="2" t="s">
        <v>2233</v>
      </c>
    </row>
    <row r="33" spans="1:37" x14ac:dyDescent="0.15">
      <c r="A33" s="2" t="s">
        <v>2232</v>
      </c>
      <c r="B33">
        <v>47</v>
      </c>
      <c r="C33" s="3">
        <v>41000</v>
      </c>
      <c r="D33" s="2" t="s">
        <v>37</v>
      </c>
      <c r="E33" s="2" t="s">
        <v>2231</v>
      </c>
      <c r="F33" s="2" t="s">
        <v>41</v>
      </c>
      <c r="G33" s="2" t="s">
        <v>106</v>
      </c>
      <c r="H33" s="2" t="s">
        <v>107</v>
      </c>
      <c r="I33" s="4">
        <v>28833444.800000001</v>
      </c>
      <c r="J33" s="4">
        <v>0</v>
      </c>
      <c r="K33" s="4">
        <v>0</v>
      </c>
      <c r="L33" s="5">
        <v>0</v>
      </c>
      <c r="M33" s="5">
        <v>5.6</v>
      </c>
      <c r="N33" s="6">
        <v>1614672.9088000001</v>
      </c>
      <c r="O33" s="4">
        <v>1614673</v>
      </c>
      <c r="P33" s="4">
        <v>1614673</v>
      </c>
      <c r="Q33" s="6">
        <v>-9.1200000000000003E-2</v>
      </c>
      <c r="R33" s="4">
        <v>0</v>
      </c>
      <c r="S33" s="4">
        <v>0</v>
      </c>
      <c r="T33" s="4">
        <v>22666755.800000001</v>
      </c>
      <c r="U33" s="4">
        <v>22666755.800000001</v>
      </c>
      <c r="V33" s="6">
        <v>78.612700000000004</v>
      </c>
      <c r="W33" s="4">
        <v>0</v>
      </c>
      <c r="X33" s="4">
        <v>0</v>
      </c>
      <c r="Y33" s="4">
        <v>22653028.379999999</v>
      </c>
      <c r="Z33" s="4">
        <v>22653028.379999999</v>
      </c>
      <c r="AA33" s="4"/>
      <c r="AB33" s="6">
        <v>0</v>
      </c>
      <c r="AC33" s="4">
        <v>0</v>
      </c>
      <c r="AD33" s="4">
        <v>0</v>
      </c>
      <c r="AE33" s="6">
        <v>0</v>
      </c>
      <c r="AF33" s="4">
        <v>0</v>
      </c>
      <c r="AG33" s="7">
        <v>0</v>
      </c>
      <c r="AH33" s="2" t="s">
        <v>37</v>
      </c>
      <c r="AI33">
        <v>0</v>
      </c>
      <c r="AJ33" s="3">
        <v>41912.6862384259</v>
      </c>
      <c r="AK33" s="2" t="s">
        <v>2230</v>
      </c>
    </row>
    <row r="34" spans="1:37" x14ac:dyDescent="0.15">
      <c r="A34" s="2" t="s">
        <v>2229</v>
      </c>
      <c r="B34">
        <v>430</v>
      </c>
      <c r="C34" s="3">
        <v>41000</v>
      </c>
      <c r="D34" s="2" t="s">
        <v>37</v>
      </c>
      <c r="E34" s="2" t="s">
        <v>2228</v>
      </c>
      <c r="F34" s="2" t="s">
        <v>38</v>
      </c>
      <c r="G34" s="2" t="s">
        <v>104</v>
      </c>
      <c r="H34" s="2" t="s">
        <v>105</v>
      </c>
      <c r="I34" s="4">
        <v>1315898</v>
      </c>
      <c r="J34" s="4">
        <v>0</v>
      </c>
      <c r="K34" s="4">
        <v>0</v>
      </c>
      <c r="L34" s="5"/>
      <c r="M34" s="5">
        <v>3.6</v>
      </c>
      <c r="N34" s="6">
        <v>47372.328000000001</v>
      </c>
      <c r="O34" s="4">
        <v>0</v>
      </c>
      <c r="P34" s="4">
        <v>0</v>
      </c>
      <c r="Q34" s="6">
        <v>47372.328000000001</v>
      </c>
      <c r="R34" s="4">
        <v>0</v>
      </c>
      <c r="S34" s="4">
        <v>0</v>
      </c>
      <c r="T34" s="4">
        <v>0</v>
      </c>
      <c r="U34" s="4">
        <v>0</v>
      </c>
      <c r="V34" s="6">
        <v>0</v>
      </c>
      <c r="W34" s="4">
        <v>0</v>
      </c>
      <c r="X34" s="4">
        <v>0</v>
      </c>
      <c r="Y34" s="4">
        <v>0</v>
      </c>
      <c r="Z34" s="4">
        <v>0</v>
      </c>
      <c r="AA34" s="4">
        <v>3.4</v>
      </c>
      <c r="AB34" s="6">
        <v>0</v>
      </c>
      <c r="AC34" s="4">
        <v>0</v>
      </c>
      <c r="AD34" s="4">
        <v>0</v>
      </c>
      <c r="AE34" s="6">
        <v>0</v>
      </c>
      <c r="AF34" s="4">
        <v>0</v>
      </c>
      <c r="AG34" s="7">
        <v>6</v>
      </c>
      <c r="AH34" s="2" t="s">
        <v>97</v>
      </c>
      <c r="AI34">
        <v>0</v>
      </c>
      <c r="AJ34" s="3">
        <v>41912.686249999999</v>
      </c>
      <c r="AK34" s="2" t="s">
        <v>2227</v>
      </c>
    </row>
    <row r="35" spans="1:37" x14ac:dyDescent="0.15">
      <c r="A35" s="2" t="s">
        <v>2226</v>
      </c>
      <c r="B35">
        <v>471</v>
      </c>
      <c r="C35" s="3">
        <v>41006</v>
      </c>
      <c r="D35" s="2" t="s">
        <v>37</v>
      </c>
      <c r="E35" s="2" t="s">
        <v>2225</v>
      </c>
      <c r="F35" s="2" t="s">
        <v>38</v>
      </c>
      <c r="G35" s="2" t="s">
        <v>110</v>
      </c>
      <c r="H35" s="2" t="s">
        <v>111</v>
      </c>
      <c r="I35" s="4">
        <v>4328546</v>
      </c>
      <c r="J35" s="4">
        <v>0</v>
      </c>
      <c r="K35" s="4">
        <v>0</v>
      </c>
      <c r="L35" s="5"/>
      <c r="M35" s="5">
        <v>4.5999999999999996</v>
      </c>
      <c r="N35" s="6">
        <v>199113.11600000001</v>
      </c>
      <c r="O35" s="4">
        <v>199113</v>
      </c>
      <c r="P35" s="4">
        <v>199113</v>
      </c>
      <c r="Q35" s="6">
        <v>0.11600000000000001</v>
      </c>
      <c r="R35" s="4">
        <v>3462837</v>
      </c>
      <c r="S35" s="4">
        <v>3462837</v>
      </c>
      <c r="T35" s="4">
        <v>3462837</v>
      </c>
      <c r="U35" s="4">
        <v>3462837</v>
      </c>
      <c r="V35" s="6">
        <v>80</v>
      </c>
      <c r="W35" s="4">
        <v>3278949.26</v>
      </c>
      <c r="X35" s="4">
        <v>3278949.26</v>
      </c>
      <c r="Y35" s="4">
        <v>3462635.86</v>
      </c>
      <c r="Z35" s="4">
        <v>3462635.86</v>
      </c>
      <c r="AA35" s="4">
        <v>3.4</v>
      </c>
      <c r="AB35" s="6">
        <v>117736.458</v>
      </c>
      <c r="AC35" s="4">
        <v>117737</v>
      </c>
      <c r="AD35" s="4">
        <v>117737</v>
      </c>
      <c r="AE35" s="6">
        <v>-0.54200000000000004</v>
      </c>
      <c r="AF35" s="4">
        <v>0</v>
      </c>
      <c r="AG35" s="7">
        <v>55</v>
      </c>
      <c r="AH35" s="2" t="s">
        <v>66</v>
      </c>
      <c r="AI35">
        <v>0</v>
      </c>
      <c r="AJ35" s="3">
        <v>41912.686249999999</v>
      </c>
      <c r="AK35" s="2" t="s">
        <v>2224</v>
      </c>
    </row>
    <row r="36" spans="1:37" x14ac:dyDescent="0.15">
      <c r="A36" s="2" t="s">
        <v>2223</v>
      </c>
      <c r="B36">
        <v>503</v>
      </c>
      <c r="C36" s="3">
        <v>41030</v>
      </c>
      <c r="D36" s="2" t="s">
        <v>37</v>
      </c>
      <c r="E36" s="2" t="s">
        <v>2222</v>
      </c>
      <c r="F36" s="2" t="s">
        <v>38</v>
      </c>
      <c r="G36" s="2" t="s">
        <v>114</v>
      </c>
      <c r="H36" s="2" t="s">
        <v>115</v>
      </c>
      <c r="I36" s="4">
        <v>5473241</v>
      </c>
      <c r="J36" s="4">
        <v>47753</v>
      </c>
      <c r="K36" s="4">
        <v>47753</v>
      </c>
      <c r="L36" s="5">
        <v>5520994</v>
      </c>
      <c r="M36" s="5">
        <v>3</v>
      </c>
      <c r="N36" s="6">
        <v>165629.82</v>
      </c>
      <c r="O36" s="4">
        <v>164197</v>
      </c>
      <c r="P36" s="4">
        <v>164197</v>
      </c>
      <c r="Q36" s="6">
        <v>1432.82</v>
      </c>
      <c r="R36" s="4">
        <v>5520994</v>
      </c>
      <c r="S36" s="4">
        <v>5520994</v>
      </c>
      <c r="T36" s="4">
        <v>5244944.3</v>
      </c>
      <c r="U36" s="4">
        <v>5244944.3</v>
      </c>
      <c r="V36" s="6">
        <v>95</v>
      </c>
      <c r="W36" s="4">
        <v>4583453.1900000004</v>
      </c>
      <c r="X36" s="4">
        <v>4583453.1900000004</v>
      </c>
      <c r="Y36" s="4">
        <v>5238901.47</v>
      </c>
      <c r="Z36" s="4">
        <v>5238901.47</v>
      </c>
      <c r="AA36" s="4">
        <v>3.74</v>
      </c>
      <c r="AB36" s="6">
        <v>206485.17559999999</v>
      </c>
      <c r="AC36" s="4">
        <v>0</v>
      </c>
      <c r="AD36" s="4">
        <v>0</v>
      </c>
      <c r="AE36" s="6">
        <v>206485.17559999999</v>
      </c>
      <c r="AF36" s="4">
        <v>0</v>
      </c>
      <c r="AG36" s="7">
        <v>0</v>
      </c>
      <c r="AH36" s="2" t="s">
        <v>37</v>
      </c>
      <c r="AI36">
        <v>0</v>
      </c>
      <c r="AJ36" s="3">
        <v>41912.686249999999</v>
      </c>
      <c r="AK36" s="2" t="s">
        <v>2221</v>
      </c>
    </row>
    <row r="37" spans="1:37" x14ac:dyDescent="0.15">
      <c r="A37" s="2" t="s">
        <v>2220</v>
      </c>
      <c r="B37">
        <v>519</v>
      </c>
      <c r="C37" s="3">
        <v>41030</v>
      </c>
      <c r="D37" s="2" t="s">
        <v>37</v>
      </c>
      <c r="E37" s="2" t="s">
        <v>2219</v>
      </c>
      <c r="F37" s="2" t="s">
        <v>38</v>
      </c>
      <c r="G37" s="2" t="s">
        <v>112</v>
      </c>
      <c r="H37" s="2" t="s">
        <v>113</v>
      </c>
      <c r="I37" s="4">
        <v>3831227.57</v>
      </c>
      <c r="J37" s="4">
        <v>0</v>
      </c>
      <c r="K37" s="4">
        <v>0</v>
      </c>
      <c r="L37" s="5"/>
      <c r="M37" s="5">
        <v>3.6</v>
      </c>
      <c r="N37" s="6">
        <v>137924.1925</v>
      </c>
      <c r="O37" s="4">
        <v>137924</v>
      </c>
      <c r="P37" s="4">
        <v>137924</v>
      </c>
      <c r="Q37" s="6">
        <v>0.1925</v>
      </c>
      <c r="R37" s="4">
        <v>3831180</v>
      </c>
      <c r="S37" s="4">
        <v>3831180</v>
      </c>
      <c r="T37" s="4">
        <v>3030000</v>
      </c>
      <c r="U37" s="4">
        <v>3030000</v>
      </c>
      <c r="V37" s="6">
        <v>79.0869</v>
      </c>
      <c r="W37" s="4">
        <v>2725866.33</v>
      </c>
      <c r="X37" s="4">
        <v>2725866.33</v>
      </c>
      <c r="Y37" s="4">
        <v>3007274.13</v>
      </c>
      <c r="Z37" s="4">
        <v>3007274.13</v>
      </c>
      <c r="AA37" s="4">
        <v>3.4</v>
      </c>
      <c r="AB37" s="6">
        <v>130260.12</v>
      </c>
      <c r="AC37" s="4">
        <v>130260</v>
      </c>
      <c r="AD37" s="4">
        <v>130260</v>
      </c>
      <c r="AE37" s="6">
        <v>0.12</v>
      </c>
      <c r="AF37" s="4">
        <v>0</v>
      </c>
      <c r="AG37" s="7">
        <v>31</v>
      </c>
      <c r="AH37" s="2" t="s">
        <v>52</v>
      </c>
      <c r="AI37">
        <v>0</v>
      </c>
      <c r="AJ37" s="3">
        <v>41912.686249999999</v>
      </c>
      <c r="AK37" s="2" t="s">
        <v>2218</v>
      </c>
    </row>
    <row r="38" spans="1:37" x14ac:dyDescent="0.15">
      <c r="A38" s="2" t="s">
        <v>2217</v>
      </c>
      <c r="B38">
        <v>487</v>
      </c>
      <c r="C38" s="3">
        <v>41031</v>
      </c>
      <c r="D38" s="2" t="s">
        <v>37</v>
      </c>
      <c r="E38" s="2" t="s">
        <v>2216</v>
      </c>
      <c r="F38" s="2" t="s">
        <v>38</v>
      </c>
      <c r="G38" s="2" t="s">
        <v>116</v>
      </c>
      <c r="H38" s="2" t="s">
        <v>117</v>
      </c>
      <c r="I38" s="4">
        <v>1785000</v>
      </c>
      <c r="J38" s="4">
        <v>0</v>
      </c>
      <c r="K38" s="4">
        <v>0</v>
      </c>
      <c r="L38" s="5"/>
      <c r="M38" s="5">
        <v>3.6</v>
      </c>
      <c r="N38" s="6">
        <v>64260</v>
      </c>
      <c r="O38" s="4">
        <v>64260</v>
      </c>
      <c r="P38" s="4">
        <v>64260</v>
      </c>
      <c r="Q38" s="6">
        <v>0</v>
      </c>
      <c r="R38" s="4">
        <v>500000</v>
      </c>
      <c r="S38" s="4">
        <v>500000</v>
      </c>
      <c r="T38" s="4">
        <v>500000</v>
      </c>
      <c r="U38" s="4">
        <v>500000</v>
      </c>
      <c r="V38" s="6">
        <v>28.011199999999999</v>
      </c>
      <c r="W38" s="4">
        <v>395996</v>
      </c>
      <c r="X38" s="4">
        <v>395996</v>
      </c>
      <c r="Y38" s="4">
        <v>499041.97</v>
      </c>
      <c r="Z38" s="4">
        <v>499041.97</v>
      </c>
      <c r="AA38" s="4">
        <v>3.4</v>
      </c>
      <c r="AB38" s="6">
        <v>17000</v>
      </c>
      <c r="AC38" s="4">
        <v>17000</v>
      </c>
      <c r="AD38" s="4">
        <v>17000</v>
      </c>
      <c r="AE38" s="6">
        <v>0</v>
      </c>
      <c r="AF38" s="4">
        <v>0</v>
      </c>
      <c r="AG38" s="7">
        <v>20</v>
      </c>
      <c r="AH38" s="2" t="s">
        <v>66</v>
      </c>
      <c r="AI38">
        <v>0</v>
      </c>
      <c r="AJ38" s="3">
        <v>41912.686249999999</v>
      </c>
      <c r="AK38" s="2" t="s">
        <v>2215</v>
      </c>
    </row>
    <row r="39" spans="1:37" x14ac:dyDescent="0.15">
      <c r="A39" s="2" t="s">
        <v>2214</v>
      </c>
      <c r="B39">
        <v>496</v>
      </c>
      <c r="C39" s="3">
        <v>41039</v>
      </c>
      <c r="D39" s="2" t="s">
        <v>37</v>
      </c>
      <c r="E39" s="2" t="s">
        <v>2213</v>
      </c>
      <c r="F39" s="2" t="s">
        <v>38</v>
      </c>
      <c r="G39" s="2" t="s">
        <v>118</v>
      </c>
      <c r="H39" s="2" t="s">
        <v>119</v>
      </c>
      <c r="I39" s="4">
        <v>2220000</v>
      </c>
      <c r="J39" s="4">
        <v>351000</v>
      </c>
      <c r="K39" s="4">
        <v>351000</v>
      </c>
      <c r="L39" s="5">
        <v>2571000</v>
      </c>
      <c r="M39" s="5">
        <v>3.6</v>
      </c>
      <c r="N39" s="6">
        <v>92556</v>
      </c>
      <c r="O39" s="4">
        <v>92556</v>
      </c>
      <c r="P39" s="4">
        <v>92556</v>
      </c>
      <c r="Q39" s="6">
        <v>0</v>
      </c>
      <c r="R39" s="4">
        <v>1550000</v>
      </c>
      <c r="S39" s="4">
        <v>1550000</v>
      </c>
      <c r="T39" s="4">
        <v>1530000</v>
      </c>
      <c r="U39" s="4">
        <v>1530000</v>
      </c>
      <c r="V39" s="6">
        <v>59.509900000000002</v>
      </c>
      <c r="W39" s="4">
        <v>954836</v>
      </c>
      <c r="X39" s="4">
        <v>954836</v>
      </c>
      <c r="Y39" s="4">
        <v>1530000</v>
      </c>
      <c r="Z39" s="4">
        <v>1530000</v>
      </c>
      <c r="AA39" s="4">
        <v>3.4</v>
      </c>
      <c r="AB39" s="6">
        <v>52700</v>
      </c>
      <c r="AC39" s="4">
        <v>52700</v>
      </c>
      <c r="AD39" s="4">
        <v>52700</v>
      </c>
      <c r="AE39" s="6">
        <v>0</v>
      </c>
      <c r="AF39" s="4">
        <v>0</v>
      </c>
      <c r="AG39" s="7">
        <v>26</v>
      </c>
      <c r="AH39" s="2" t="s">
        <v>66</v>
      </c>
      <c r="AI39">
        <v>0</v>
      </c>
      <c r="AJ39" s="3">
        <v>41912.686249999999</v>
      </c>
      <c r="AK39" s="2" t="s">
        <v>2212</v>
      </c>
    </row>
    <row r="40" spans="1:37" x14ac:dyDescent="0.15">
      <c r="A40" s="2" t="s">
        <v>2211</v>
      </c>
      <c r="B40">
        <v>511</v>
      </c>
      <c r="C40" s="3">
        <v>41050</v>
      </c>
      <c r="D40" s="2" t="s">
        <v>37</v>
      </c>
      <c r="E40" s="2" t="s">
        <v>2210</v>
      </c>
      <c r="F40" s="2" t="s">
        <v>38</v>
      </c>
      <c r="G40" s="2" t="s">
        <v>120</v>
      </c>
      <c r="H40" s="2" t="s">
        <v>121</v>
      </c>
      <c r="I40" s="4">
        <v>36296483</v>
      </c>
      <c r="J40" s="4">
        <v>1293588</v>
      </c>
      <c r="K40" s="4">
        <v>1293588</v>
      </c>
      <c r="L40" s="5"/>
      <c r="M40" s="5">
        <v>3</v>
      </c>
      <c r="N40" s="6">
        <v>1127702.1299999999</v>
      </c>
      <c r="O40" s="4">
        <v>1127608</v>
      </c>
      <c r="P40" s="4">
        <v>1127608</v>
      </c>
      <c r="Q40" s="6">
        <v>94.13</v>
      </c>
      <c r="R40" s="4">
        <v>33307394</v>
      </c>
      <c r="S40" s="4">
        <v>33307394</v>
      </c>
      <c r="T40" s="4">
        <v>33307394</v>
      </c>
      <c r="U40" s="4">
        <v>33307394</v>
      </c>
      <c r="V40" s="6">
        <v>88.606899999999996</v>
      </c>
      <c r="W40" s="4">
        <v>28631226.399999999</v>
      </c>
      <c r="X40" s="4">
        <v>28631226.399999999</v>
      </c>
      <c r="Y40" s="4">
        <v>33434705.170000002</v>
      </c>
      <c r="Z40" s="4">
        <v>33434705.170000002</v>
      </c>
      <c r="AA40" s="4">
        <v>3.74</v>
      </c>
      <c r="AB40" s="6">
        <v>1245696.5356000001</v>
      </c>
      <c r="AC40" s="4">
        <v>0</v>
      </c>
      <c r="AD40" s="4">
        <v>0</v>
      </c>
      <c r="AE40" s="6">
        <v>1245696.5356000001</v>
      </c>
      <c r="AF40" s="4">
        <v>0</v>
      </c>
      <c r="AG40" s="7">
        <v>320</v>
      </c>
      <c r="AH40" s="2" t="s">
        <v>66</v>
      </c>
      <c r="AI40">
        <v>0</v>
      </c>
      <c r="AJ40" s="3">
        <v>41912.686249999999</v>
      </c>
      <c r="AK40" s="2" t="s">
        <v>2209</v>
      </c>
    </row>
    <row r="41" spans="1:37" x14ac:dyDescent="0.15">
      <c r="A41" s="2" t="s">
        <v>2208</v>
      </c>
      <c r="B41">
        <v>50</v>
      </c>
      <c r="C41" s="3">
        <v>41061</v>
      </c>
      <c r="D41" s="2" t="s">
        <v>37</v>
      </c>
      <c r="E41" s="2" t="s">
        <v>2207</v>
      </c>
      <c r="F41" s="2" t="s">
        <v>41</v>
      </c>
      <c r="G41" s="2" t="s">
        <v>122</v>
      </c>
      <c r="H41" s="2" t="s">
        <v>123</v>
      </c>
      <c r="I41" s="4">
        <v>6196000</v>
      </c>
      <c r="J41" s="4">
        <v>0</v>
      </c>
      <c r="K41" s="4">
        <v>0</v>
      </c>
      <c r="L41" s="5">
        <v>0</v>
      </c>
      <c r="M41" s="5">
        <v>4</v>
      </c>
      <c r="N41" s="6">
        <v>247840</v>
      </c>
      <c r="O41" s="4">
        <v>0</v>
      </c>
      <c r="P41" s="4">
        <v>0</v>
      </c>
      <c r="Q41" s="6">
        <v>247840</v>
      </c>
      <c r="R41" s="4">
        <v>0</v>
      </c>
      <c r="S41" s="4">
        <v>0</v>
      </c>
      <c r="T41" s="4">
        <v>3500000</v>
      </c>
      <c r="U41" s="4">
        <v>3500000</v>
      </c>
      <c r="V41" s="6">
        <v>56.488100000000003</v>
      </c>
      <c r="W41" s="4">
        <v>0</v>
      </c>
      <c r="X41" s="4">
        <v>0</v>
      </c>
      <c r="Y41" s="4">
        <v>3489148.65</v>
      </c>
      <c r="Z41" s="4">
        <v>3489148.65</v>
      </c>
      <c r="AA41" s="4"/>
      <c r="AB41" s="6">
        <v>0</v>
      </c>
      <c r="AC41" s="4">
        <v>0</v>
      </c>
      <c r="AD41" s="4">
        <v>0</v>
      </c>
      <c r="AE41" s="6">
        <v>0</v>
      </c>
      <c r="AF41" s="4">
        <v>0</v>
      </c>
      <c r="AG41" s="7">
        <v>0</v>
      </c>
      <c r="AH41" s="2" t="s">
        <v>37</v>
      </c>
      <c r="AI41">
        <v>0</v>
      </c>
      <c r="AJ41" s="3">
        <v>41912.6862384259</v>
      </c>
      <c r="AK41" s="2" t="s">
        <v>2206</v>
      </c>
    </row>
    <row r="42" spans="1:37" x14ac:dyDescent="0.15">
      <c r="A42" s="2" t="s">
        <v>2205</v>
      </c>
      <c r="B42">
        <v>528</v>
      </c>
      <c r="C42" s="3">
        <v>41073</v>
      </c>
      <c r="D42" s="2" t="s">
        <v>37</v>
      </c>
      <c r="E42" s="2" t="s">
        <v>2204</v>
      </c>
      <c r="F42" s="2" t="s">
        <v>38</v>
      </c>
      <c r="G42" s="2" t="s">
        <v>124</v>
      </c>
      <c r="H42" s="2" t="s">
        <v>125</v>
      </c>
      <c r="I42" s="4">
        <v>1444588.7</v>
      </c>
      <c r="J42" s="4">
        <v>1770220.47</v>
      </c>
      <c r="K42" s="4">
        <v>1770220.47</v>
      </c>
      <c r="L42" s="5"/>
      <c r="M42" s="5">
        <v>3.6</v>
      </c>
      <c r="N42" s="6">
        <v>115733.13009999999</v>
      </c>
      <c r="O42" s="4">
        <v>115733</v>
      </c>
      <c r="P42" s="4">
        <v>115733</v>
      </c>
      <c r="Q42" s="6">
        <v>0.13009999999999999</v>
      </c>
      <c r="R42" s="4">
        <v>2500366.44</v>
      </c>
      <c r="S42" s="4">
        <v>2500366.44</v>
      </c>
      <c r="T42" s="4">
        <v>2500366.44</v>
      </c>
      <c r="U42" s="4">
        <v>2500366.44</v>
      </c>
      <c r="V42" s="6">
        <v>77.776499999999999</v>
      </c>
      <c r="W42" s="4">
        <v>2230332.1</v>
      </c>
      <c r="X42" s="4">
        <v>2230332.1</v>
      </c>
      <c r="Y42" s="4">
        <v>2492151.1</v>
      </c>
      <c r="Z42" s="4">
        <v>2492151.1</v>
      </c>
      <c r="AA42" s="4">
        <v>3.4</v>
      </c>
      <c r="AB42" s="6">
        <v>85012.459000000003</v>
      </c>
      <c r="AC42" s="4">
        <v>85014</v>
      </c>
      <c r="AD42" s="4">
        <v>85014</v>
      </c>
      <c r="AE42" s="6">
        <v>-1.5409999999999999</v>
      </c>
      <c r="AF42" s="4">
        <v>0</v>
      </c>
      <c r="AG42" s="7">
        <v>31</v>
      </c>
      <c r="AH42" s="2" t="s">
        <v>97</v>
      </c>
      <c r="AI42">
        <v>0</v>
      </c>
      <c r="AJ42" s="3">
        <v>41912.686249999999</v>
      </c>
      <c r="AK42" s="2" t="s">
        <v>2203</v>
      </c>
    </row>
    <row r="43" spans="1:37" x14ac:dyDescent="0.15">
      <c r="A43" s="2" t="s">
        <v>2202</v>
      </c>
      <c r="B43">
        <v>54</v>
      </c>
      <c r="C43" s="3">
        <v>41091</v>
      </c>
      <c r="D43" s="2" t="s">
        <v>37</v>
      </c>
      <c r="E43" s="2" t="s">
        <v>2201</v>
      </c>
      <c r="F43" s="2" t="s">
        <v>41</v>
      </c>
      <c r="G43" s="2" t="s">
        <v>127</v>
      </c>
      <c r="H43" s="2" t="s">
        <v>128</v>
      </c>
      <c r="I43" s="4">
        <v>1810092</v>
      </c>
      <c r="J43" s="4">
        <v>0</v>
      </c>
      <c r="K43" s="4">
        <v>0</v>
      </c>
      <c r="L43" s="5">
        <v>0</v>
      </c>
      <c r="M43" s="5">
        <v>4</v>
      </c>
      <c r="N43" s="6">
        <v>72403.679999999993</v>
      </c>
      <c r="O43" s="4">
        <v>72404</v>
      </c>
      <c r="P43" s="4">
        <v>72404</v>
      </c>
      <c r="Q43" s="6">
        <v>-0.32</v>
      </c>
      <c r="R43" s="4">
        <v>0</v>
      </c>
      <c r="S43" s="4">
        <v>0</v>
      </c>
      <c r="T43" s="4">
        <v>1800000</v>
      </c>
      <c r="U43" s="4">
        <v>1800000</v>
      </c>
      <c r="V43" s="6">
        <v>99.442499999999995</v>
      </c>
      <c r="W43" s="4">
        <v>0</v>
      </c>
      <c r="X43" s="4">
        <v>0</v>
      </c>
      <c r="Y43" s="4">
        <v>1796144</v>
      </c>
      <c r="Z43" s="4">
        <v>1796144</v>
      </c>
      <c r="AA43" s="4"/>
      <c r="AB43" s="6">
        <v>0</v>
      </c>
      <c r="AC43" s="4">
        <v>0</v>
      </c>
      <c r="AD43" s="4">
        <v>0</v>
      </c>
      <c r="AE43" s="6">
        <v>0</v>
      </c>
      <c r="AF43" s="4">
        <v>0</v>
      </c>
      <c r="AG43" s="7">
        <v>0</v>
      </c>
      <c r="AH43" s="2" t="s">
        <v>37</v>
      </c>
      <c r="AI43">
        <v>0</v>
      </c>
      <c r="AJ43" s="3">
        <v>41912.6862384259</v>
      </c>
      <c r="AK43" s="2" t="s">
        <v>2200</v>
      </c>
    </row>
    <row r="44" spans="1:37" x14ac:dyDescent="0.15">
      <c r="A44" s="2" t="s">
        <v>2199</v>
      </c>
      <c r="B44">
        <v>561</v>
      </c>
      <c r="C44" s="3">
        <v>41091</v>
      </c>
      <c r="D44" s="2" t="s">
        <v>37</v>
      </c>
      <c r="E44" s="2" t="s">
        <v>2198</v>
      </c>
      <c r="F44" s="2" t="s">
        <v>38</v>
      </c>
      <c r="G44" s="2" t="s">
        <v>126</v>
      </c>
      <c r="H44" s="2" t="s">
        <v>75</v>
      </c>
      <c r="I44" s="4">
        <v>4400000</v>
      </c>
      <c r="J44" s="4">
        <v>0</v>
      </c>
      <c r="K44" s="4">
        <v>0</v>
      </c>
      <c r="L44" s="5"/>
      <c r="M44" s="5">
        <v>3</v>
      </c>
      <c r="N44" s="6">
        <v>132000</v>
      </c>
      <c r="O44" s="4">
        <v>132000</v>
      </c>
      <c r="P44" s="4">
        <v>132000</v>
      </c>
      <c r="Q44" s="6">
        <v>0</v>
      </c>
      <c r="R44" s="4">
        <v>4100000</v>
      </c>
      <c r="S44" s="4">
        <v>4100000</v>
      </c>
      <c r="T44" s="4">
        <v>3300000</v>
      </c>
      <c r="U44" s="4">
        <v>3300000</v>
      </c>
      <c r="V44" s="6">
        <v>75</v>
      </c>
      <c r="W44" s="4">
        <v>3180103.71</v>
      </c>
      <c r="X44" s="4">
        <v>3180103.71</v>
      </c>
      <c r="Y44" s="4">
        <v>3292303.71</v>
      </c>
      <c r="Z44" s="4">
        <v>3292303.71</v>
      </c>
      <c r="AA44" s="4">
        <v>3.4</v>
      </c>
      <c r="AB44" s="6">
        <v>139400</v>
      </c>
      <c r="AC44" s="4">
        <v>112200</v>
      </c>
      <c r="AD44" s="4">
        <v>112200</v>
      </c>
      <c r="AE44" s="6">
        <v>27200</v>
      </c>
      <c r="AF44" s="4">
        <v>0</v>
      </c>
      <c r="AG44" s="7">
        <v>0</v>
      </c>
      <c r="AH44" s="2" t="s">
        <v>37</v>
      </c>
      <c r="AI44">
        <v>0</v>
      </c>
      <c r="AJ44" s="3">
        <v>41912.686249999999</v>
      </c>
      <c r="AK44" s="2" t="s">
        <v>2197</v>
      </c>
    </row>
    <row r="45" spans="1:37" x14ac:dyDescent="0.15">
      <c r="A45" s="2" t="s">
        <v>2196</v>
      </c>
      <c r="B45">
        <v>569</v>
      </c>
      <c r="C45" s="3">
        <v>41091</v>
      </c>
      <c r="D45" s="2" t="s">
        <v>37</v>
      </c>
      <c r="E45" s="2" t="s">
        <v>2195</v>
      </c>
      <c r="F45" s="2" t="s">
        <v>38</v>
      </c>
      <c r="G45" s="2" t="s">
        <v>131</v>
      </c>
      <c r="H45" s="2" t="s">
        <v>132</v>
      </c>
      <c r="I45" s="4">
        <v>5538662</v>
      </c>
      <c r="J45" s="4">
        <v>3392971</v>
      </c>
      <c r="K45" s="4">
        <v>3392971</v>
      </c>
      <c r="L45" s="5"/>
      <c r="M45" s="5">
        <v>3</v>
      </c>
      <c r="N45" s="6">
        <v>267948.99</v>
      </c>
      <c r="O45" s="4">
        <v>267949</v>
      </c>
      <c r="P45" s="4">
        <v>267949</v>
      </c>
      <c r="Q45" s="6">
        <v>-0.01</v>
      </c>
      <c r="R45" s="4">
        <v>7570000</v>
      </c>
      <c r="S45" s="4">
        <v>7570000</v>
      </c>
      <c r="T45" s="4">
        <v>7570000</v>
      </c>
      <c r="U45" s="4">
        <v>7570000</v>
      </c>
      <c r="V45" s="6">
        <v>84.754900000000006</v>
      </c>
      <c r="W45" s="4">
        <v>7355941.4199999999</v>
      </c>
      <c r="X45" s="4">
        <v>7355941.4199999999</v>
      </c>
      <c r="Y45" s="4">
        <v>7552961.8899999997</v>
      </c>
      <c r="Z45" s="4">
        <v>7552961.8899999997</v>
      </c>
      <c r="AA45" s="4">
        <v>3.74</v>
      </c>
      <c r="AB45" s="6">
        <v>283118</v>
      </c>
      <c r="AC45" s="4">
        <v>283118</v>
      </c>
      <c r="AD45" s="4">
        <v>283118</v>
      </c>
      <c r="AE45" s="6">
        <v>0</v>
      </c>
      <c r="AF45" s="4">
        <v>0</v>
      </c>
      <c r="AG45" s="7">
        <v>0</v>
      </c>
      <c r="AH45" s="2" t="s">
        <v>37</v>
      </c>
      <c r="AI45">
        <v>0</v>
      </c>
      <c r="AJ45" s="3">
        <v>41912.686249999999</v>
      </c>
      <c r="AK45" s="2" t="s">
        <v>2194</v>
      </c>
    </row>
    <row r="46" spans="1:37" x14ac:dyDescent="0.15">
      <c r="A46" s="2" t="s">
        <v>2193</v>
      </c>
      <c r="B46">
        <v>545</v>
      </c>
      <c r="C46" s="3">
        <v>41091</v>
      </c>
      <c r="D46" s="2" t="s">
        <v>37</v>
      </c>
      <c r="E46" s="2" t="s">
        <v>2192</v>
      </c>
      <c r="F46" s="2" t="s">
        <v>38</v>
      </c>
      <c r="G46" s="2" t="s">
        <v>129</v>
      </c>
      <c r="H46" s="2" t="s">
        <v>130</v>
      </c>
      <c r="I46" s="4">
        <v>742782.79</v>
      </c>
      <c r="J46" s="4">
        <v>149141.78</v>
      </c>
      <c r="K46" s="4">
        <v>149141.78</v>
      </c>
      <c r="L46" s="5"/>
      <c r="M46" s="5">
        <v>3.6</v>
      </c>
      <c r="N46" s="6">
        <v>32109.284500000002</v>
      </c>
      <c r="O46" s="4">
        <v>26920</v>
      </c>
      <c r="P46" s="4">
        <v>26920</v>
      </c>
      <c r="Q46" s="6">
        <v>5189.2844999999998</v>
      </c>
      <c r="R46" s="4">
        <v>891924.57</v>
      </c>
      <c r="S46" s="4">
        <v>891924.57</v>
      </c>
      <c r="T46" s="4">
        <v>891924.57</v>
      </c>
      <c r="U46" s="4">
        <v>891924.57</v>
      </c>
      <c r="V46" s="6">
        <v>100</v>
      </c>
      <c r="W46" s="4">
        <v>426993.57</v>
      </c>
      <c r="X46" s="4">
        <v>426993.57</v>
      </c>
      <c r="Y46" s="4">
        <v>886924.57</v>
      </c>
      <c r="Z46" s="4">
        <v>886924.57</v>
      </c>
      <c r="AA46" s="4">
        <v>3.4</v>
      </c>
      <c r="AB46" s="6">
        <v>30325.435399999998</v>
      </c>
      <c r="AC46" s="4">
        <v>30405</v>
      </c>
      <c r="AD46" s="4">
        <v>30405</v>
      </c>
      <c r="AE46" s="6">
        <v>-79.564599999999999</v>
      </c>
      <c r="AF46" s="4">
        <v>0</v>
      </c>
      <c r="AG46" s="7">
        <v>8</v>
      </c>
      <c r="AH46" s="2" t="s">
        <v>97</v>
      </c>
      <c r="AI46">
        <v>0</v>
      </c>
      <c r="AJ46" s="3">
        <v>41912.686249999999</v>
      </c>
      <c r="AK46" s="2" t="s">
        <v>2191</v>
      </c>
    </row>
    <row r="47" spans="1:37" x14ac:dyDescent="0.15">
      <c r="A47" s="2" t="s">
        <v>2190</v>
      </c>
      <c r="B47">
        <v>536</v>
      </c>
      <c r="C47" s="3">
        <v>41092</v>
      </c>
      <c r="D47" s="2" t="s">
        <v>37</v>
      </c>
      <c r="E47" s="2" t="s">
        <v>2189</v>
      </c>
      <c r="F47" s="2" t="s">
        <v>38</v>
      </c>
      <c r="G47" s="2" t="s">
        <v>133</v>
      </c>
      <c r="H47" s="2" t="s">
        <v>134</v>
      </c>
      <c r="I47" s="4">
        <v>1508400</v>
      </c>
      <c r="J47" s="4">
        <v>0</v>
      </c>
      <c r="K47" s="4">
        <v>0</v>
      </c>
      <c r="L47" s="5"/>
      <c r="M47" s="5">
        <v>3.6</v>
      </c>
      <c r="N47" s="6">
        <v>54302.400000000001</v>
      </c>
      <c r="O47" s="4">
        <v>54302</v>
      </c>
      <c r="P47" s="4">
        <v>54302</v>
      </c>
      <c r="Q47" s="6">
        <v>0.4</v>
      </c>
      <c r="R47" s="4">
        <v>1190000</v>
      </c>
      <c r="S47" s="4">
        <v>1190000</v>
      </c>
      <c r="T47" s="4">
        <v>1199905</v>
      </c>
      <c r="U47" s="4">
        <v>1199905</v>
      </c>
      <c r="V47" s="6">
        <v>79.548199999999994</v>
      </c>
      <c r="W47" s="4">
        <v>1152231.93</v>
      </c>
      <c r="X47" s="4">
        <v>1152231.93</v>
      </c>
      <c r="Y47" s="4">
        <v>1192691.93</v>
      </c>
      <c r="Z47" s="4">
        <v>1192691.93</v>
      </c>
      <c r="AA47" s="4">
        <v>3.4</v>
      </c>
      <c r="AB47" s="6">
        <v>40460</v>
      </c>
      <c r="AC47" s="4">
        <v>40460</v>
      </c>
      <c r="AD47" s="4">
        <v>40460</v>
      </c>
      <c r="AE47" s="6">
        <v>0</v>
      </c>
      <c r="AF47" s="4">
        <v>0</v>
      </c>
      <c r="AG47" s="7">
        <v>7</v>
      </c>
      <c r="AH47" s="2" t="s">
        <v>66</v>
      </c>
      <c r="AI47">
        <v>0</v>
      </c>
      <c r="AJ47" s="3">
        <v>41912.686249999999</v>
      </c>
      <c r="AK47" s="2" t="s">
        <v>2188</v>
      </c>
    </row>
    <row r="48" spans="1:37" x14ac:dyDescent="0.15">
      <c r="A48" s="2" t="s">
        <v>2187</v>
      </c>
      <c r="B48">
        <v>578</v>
      </c>
      <c r="C48" s="3">
        <v>41108</v>
      </c>
      <c r="D48" s="2" t="s">
        <v>37</v>
      </c>
      <c r="E48" s="2" t="s">
        <v>2186</v>
      </c>
      <c r="F48" s="2" t="s">
        <v>38</v>
      </c>
      <c r="G48" s="2" t="s">
        <v>135</v>
      </c>
      <c r="H48" s="2" t="s">
        <v>136</v>
      </c>
      <c r="I48" s="4">
        <v>8443771</v>
      </c>
      <c r="J48" s="4">
        <v>1126543.3600000001</v>
      </c>
      <c r="K48" s="4">
        <v>1126543.3600000001</v>
      </c>
      <c r="L48" s="5"/>
      <c r="M48" s="5">
        <v>3</v>
      </c>
      <c r="N48" s="6">
        <v>287109.43079999997</v>
      </c>
      <c r="O48" s="4">
        <v>287109</v>
      </c>
      <c r="P48" s="4">
        <v>287109</v>
      </c>
      <c r="Q48" s="6">
        <v>0.43080000000000002</v>
      </c>
      <c r="R48" s="4">
        <v>8599000</v>
      </c>
      <c r="S48" s="4">
        <v>8599000</v>
      </c>
      <c r="T48" s="4">
        <v>8599000</v>
      </c>
      <c r="U48" s="4">
        <v>8599000</v>
      </c>
      <c r="V48" s="6">
        <v>89.850800000000007</v>
      </c>
      <c r="W48" s="4">
        <v>5958030.2599999998</v>
      </c>
      <c r="X48" s="4">
        <v>5958030.2599999998</v>
      </c>
      <c r="Y48" s="4">
        <v>8594025.5299999993</v>
      </c>
      <c r="Z48" s="4">
        <v>8594025.5299999993</v>
      </c>
      <c r="AA48" s="4">
        <v>3.4</v>
      </c>
      <c r="AB48" s="6">
        <v>292366</v>
      </c>
      <c r="AC48" s="4">
        <v>292366</v>
      </c>
      <c r="AD48" s="4">
        <v>292366</v>
      </c>
      <c r="AE48" s="6">
        <v>0</v>
      </c>
      <c r="AF48" s="4">
        <v>0</v>
      </c>
      <c r="AG48" s="7">
        <v>72</v>
      </c>
      <c r="AH48" s="2" t="s">
        <v>52</v>
      </c>
      <c r="AI48">
        <v>0</v>
      </c>
      <c r="AJ48" s="3">
        <v>41912.686249999999</v>
      </c>
      <c r="AK48" s="2" t="s">
        <v>2185</v>
      </c>
    </row>
    <row r="49" spans="1:37" x14ac:dyDescent="0.15">
      <c r="A49" s="2" t="s">
        <v>2184</v>
      </c>
      <c r="B49">
        <v>585</v>
      </c>
      <c r="C49" s="3">
        <v>41113</v>
      </c>
      <c r="D49" s="2" t="s">
        <v>37</v>
      </c>
      <c r="E49" s="2" t="s">
        <v>2183</v>
      </c>
      <c r="F49" s="2" t="s">
        <v>38</v>
      </c>
      <c r="G49" s="2" t="s">
        <v>137</v>
      </c>
      <c r="H49" s="2" t="s">
        <v>138</v>
      </c>
      <c r="I49" s="4">
        <v>4520000</v>
      </c>
      <c r="J49" s="4">
        <v>0</v>
      </c>
      <c r="K49" s="4">
        <v>0</v>
      </c>
      <c r="L49" s="5"/>
      <c r="M49" s="5">
        <v>3.6</v>
      </c>
      <c r="N49" s="6">
        <v>162720</v>
      </c>
      <c r="O49" s="4">
        <v>162720</v>
      </c>
      <c r="P49" s="4">
        <v>162720</v>
      </c>
      <c r="Q49" s="6">
        <v>0</v>
      </c>
      <c r="R49" s="4">
        <v>4395540.75</v>
      </c>
      <c r="S49" s="4">
        <v>4395540.75</v>
      </c>
      <c r="T49" s="4">
        <v>3616000</v>
      </c>
      <c r="U49" s="4">
        <v>3616000</v>
      </c>
      <c r="V49" s="6">
        <v>80</v>
      </c>
      <c r="W49" s="4">
        <v>3533736</v>
      </c>
      <c r="X49" s="4">
        <v>3533736</v>
      </c>
      <c r="Y49" s="4">
        <v>3616000</v>
      </c>
      <c r="Z49" s="4">
        <v>3616000</v>
      </c>
      <c r="AA49" s="4">
        <v>3.4</v>
      </c>
      <c r="AB49" s="6">
        <v>149448.3855</v>
      </c>
      <c r="AC49" s="4">
        <v>149448</v>
      </c>
      <c r="AD49" s="4">
        <v>149448</v>
      </c>
      <c r="AE49" s="6">
        <v>0.38550000000000001</v>
      </c>
      <c r="AF49" s="4">
        <v>0</v>
      </c>
      <c r="AG49" s="7">
        <v>0</v>
      </c>
      <c r="AH49" s="2" t="s">
        <v>37</v>
      </c>
      <c r="AI49">
        <v>0</v>
      </c>
      <c r="AJ49" s="3">
        <v>41912.686249999999</v>
      </c>
      <c r="AK49" s="2" t="s">
        <v>2182</v>
      </c>
    </row>
    <row r="50" spans="1:37" x14ac:dyDescent="0.15">
      <c r="A50" s="2" t="s">
        <v>2181</v>
      </c>
      <c r="B50">
        <v>593</v>
      </c>
      <c r="C50" s="3">
        <v>41113</v>
      </c>
      <c r="D50" s="2" t="s">
        <v>37</v>
      </c>
      <c r="E50" s="2" t="s">
        <v>2180</v>
      </c>
      <c r="F50" s="2" t="s">
        <v>38</v>
      </c>
      <c r="G50" s="2" t="s">
        <v>139</v>
      </c>
      <c r="H50" s="2" t="s">
        <v>140</v>
      </c>
      <c r="I50" s="4">
        <v>8171765</v>
      </c>
      <c r="J50" s="4">
        <v>0</v>
      </c>
      <c r="K50" s="4">
        <v>0</v>
      </c>
      <c r="L50" s="5"/>
      <c r="M50" s="5">
        <v>3</v>
      </c>
      <c r="N50" s="6">
        <v>245152.95</v>
      </c>
      <c r="O50" s="4">
        <v>245153</v>
      </c>
      <c r="P50" s="4">
        <v>245153</v>
      </c>
      <c r="Q50" s="6">
        <v>-0.05</v>
      </c>
      <c r="R50" s="4">
        <v>6000000</v>
      </c>
      <c r="S50" s="4">
        <v>6000000</v>
      </c>
      <c r="T50" s="4">
        <v>6000000</v>
      </c>
      <c r="U50" s="4">
        <v>6000000</v>
      </c>
      <c r="V50" s="6">
        <v>73.423599999999993</v>
      </c>
      <c r="W50" s="4">
        <v>5613614.3499999996</v>
      </c>
      <c r="X50" s="4">
        <v>5613614.3499999996</v>
      </c>
      <c r="Y50" s="4">
        <v>5991760.5999999996</v>
      </c>
      <c r="Z50" s="4">
        <v>5991760.5999999996</v>
      </c>
      <c r="AA50" s="4">
        <v>3.4</v>
      </c>
      <c r="AB50" s="6">
        <v>204000</v>
      </c>
      <c r="AC50" s="4">
        <v>204000</v>
      </c>
      <c r="AD50" s="4">
        <v>204000</v>
      </c>
      <c r="AE50" s="6">
        <v>0</v>
      </c>
      <c r="AF50" s="4">
        <v>0</v>
      </c>
      <c r="AG50" s="7">
        <v>100</v>
      </c>
      <c r="AH50" s="2" t="s">
        <v>66</v>
      </c>
      <c r="AI50">
        <v>0</v>
      </c>
      <c r="AJ50" s="3">
        <v>41912.686261574097</v>
      </c>
      <c r="AK50" s="2" t="s">
        <v>2179</v>
      </c>
    </row>
    <row r="51" spans="1:37" x14ac:dyDescent="0.15">
      <c r="A51" s="2" t="s">
        <v>2178</v>
      </c>
      <c r="B51">
        <v>554</v>
      </c>
      <c r="C51" s="3">
        <v>41117</v>
      </c>
      <c r="D51" s="2" t="s">
        <v>37</v>
      </c>
      <c r="E51" s="2" t="s">
        <v>2177</v>
      </c>
      <c r="F51" s="2" t="s">
        <v>38</v>
      </c>
      <c r="G51" s="2" t="s">
        <v>141</v>
      </c>
      <c r="H51" s="2" t="s">
        <v>142</v>
      </c>
      <c r="I51" s="4">
        <v>328000</v>
      </c>
      <c r="J51" s="4">
        <v>34031</v>
      </c>
      <c r="K51" s="4">
        <v>34031</v>
      </c>
      <c r="L51" s="5"/>
      <c r="M51" s="5">
        <v>3.6</v>
      </c>
      <c r="N51" s="6">
        <v>13033.116</v>
      </c>
      <c r="O51" s="4">
        <v>13033</v>
      </c>
      <c r="P51" s="4">
        <v>13033</v>
      </c>
      <c r="Q51" s="6">
        <v>0.11600000000000001</v>
      </c>
      <c r="R51" s="4">
        <v>343930</v>
      </c>
      <c r="S51" s="4">
        <v>343930</v>
      </c>
      <c r="T51" s="4">
        <v>343930</v>
      </c>
      <c r="U51" s="4">
        <v>343930</v>
      </c>
      <c r="V51" s="6">
        <v>95.000200000000007</v>
      </c>
      <c r="W51" s="4">
        <v>114435.82</v>
      </c>
      <c r="X51" s="4">
        <v>114435.82</v>
      </c>
      <c r="Y51" s="4">
        <v>339814</v>
      </c>
      <c r="Z51" s="4">
        <v>339814</v>
      </c>
      <c r="AA51" s="4">
        <v>3.4</v>
      </c>
      <c r="AB51" s="6">
        <v>11693.62</v>
      </c>
      <c r="AC51" s="4">
        <v>11693</v>
      </c>
      <c r="AD51" s="4">
        <v>11693</v>
      </c>
      <c r="AE51" s="6">
        <v>0.62</v>
      </c>
      <c r="AF51" s="4">
        <v>0</v>
      </c>
      <c r="AG51" s="7">
        <v>4</v>
      </c>
      <c r="AH51" s="2" t="s">
        <v>66</v>
      </c>
      <c r="AI51">
        <v>0</v>
      </c>
      <c r="AJ51" s="3">
        <v>41912.686249999999</v>
      </c>
      <c r="AK51" s="2" t="s">
        <v>2176</v>
      </c>
    </row>
    <row r="52" spans="1:37" x14ac:dyDescent="0.15">
      <c r="A52" s="2" t="s">
        <v>2175</v>
      </c>
      <c r="B52">
        <v>59</v>
      </c>
      <c r="C52" s="3">
        <v>41122</v>
      </c>
      <c r="D52" s="2" t="s">
        <v>37</v>
      </c>
      <c r="E52" s="2" t="s">
        <v>2174</v>
      </c>
      <c r="F52" s="2" t="s">
        <v>41</v>
      </c>
      <c r="G52" s="2" t="s">
        <v>143</v>
      </c>
      <c r="H52" s="2" t="s">
        <v>144</v>
      </c>
      <c r="I52" s="4">
        <v>10343049.93</v>
      </c>
      <c r="J52" s="4">
        <v>0</v>
      </c>
      <c r="K52" s="4">
        <v>0</v>
      </c>
      <c r="L52" s="5">
        <v>0</v>
      </c>
      <c r="M52" s="5">
        <v>3.5</v>
      </c>
      <c r="N52" s="6">
        <v>362006.7476</v>
      </c>
      <c r="O52" s="4">
        <v>362006.75</v>
      </c>
      <c r="P52" s="4">
        <v>362006.75</v>
      </c>
      <c r="Q52" s="6">
        <v>-2.3999999999999998E-3</v>
      </c>
      <c r="R52" s="4">
        <v>0</v>
      </c>
      <c r="S52" s="4">
        <v>0</v>
      </c>
      <c r="T52" s="4">
        <v>7860688.0099999998</v>
      </c>
      <c r="U52" s="4">
        <v>7860688.0099999998</v>
      </c>
      <c r="V52" s="6">
        <v>75.999700000000004</v>
      </c>
      <c r="W52" s="4">
        <v>0</v>
      </c>
      <c r="X52" s="4">
        <v>0</v>
      </c>
      <c r="Y52" s="4">
        <v>7748729.1299999999</v>
      </c>
      <c r="Z52" s="4">
        <v>7748729.1299999999</v>
      </c>
      <c r="AA52" s="4">
        <v>3.4</v>
      </c>
      <c r="AB52" s="6">
        <v>351663.69760000001</v>
      </c>
      <c r="AC52" s="4">
        <v>111118.8</v>
      </c>
      <c r="AD52" s="4">
        <v>111118.8</v>
      </c>
      <c r="AE52" s="6">
        <v>240544.8976</v>
      </c>
      <c r="AF52" s="4">
        <v>0</v>
      </c>
      <c r="AG52" s="7">
        <v>0</v>
      </c>
      <c r="AH52" s="2" t="s">
        <v>37</v>
      </c>
      <c r="AI52">
        <v>0</v>
      </c>
      <c r="AJ52" s="3">
        <v>41912.6862384259</v>
      </c>
      <c r="AK52" s="2" t="s">
        <v>2173</v>
      </c>
    </row>
    <row r="53" spans="1:37" x14ac:dyDescent="0.15">
      <c r="A53" s="2" t="s">
        <v>2172</v>
      </c>
      <c r="B53">
        <v>601</v>
      </c>
      <c r="C53" s="3">
        <v>41128</v>
      </c>
      <c r="D53" s="2" t="s">
        <v>37</v>
      </c>
      <c r="E53" s="2" t="s">
        <v>2171</v>
      </c>
      <c r="F53" s="2" t="s">
        <v>38</v>
      </c>
      <c r="G53" s="2" t="s">
        <v>145</v>
      </c>
      <c r="H53" s="2" t="s">
        <v>146</v>
      </c>
      <c r="I53" s="4">
        <v>5170956.9400000004</v>
      </c>
      <c r="J53" s="4">
        <v>0</v>
      </c>
      <c r="K53" s="4">
        <v>0</v>
      </c>
      <c r="L53" s="5"/>
      <c r="M53" s="5">
        <v>3</v>
      </c>
      <c r="N53" s="6">
        <v>155128.70819999999</v>
      </c>
      <c r="O53" s="4">
        <v>155129</v>
      </c>
      <c r="P53" s="4">
        <v>155129</v>
      </c>
      <c r="Q53" s="6">
        <v>-0.2918</v>
      </c>
      <c r="R53" s="4">
        <v>4912409.09</v>
      </c>
      <c r="S53" s="4">
        <v>4912409.09</v>
      </c>
      <c r="T53" s="4">
        <v>4912409.09</v>
      </c>
      <c r="U53" s="4">
        <v>4912409.09</v>
      </c>
      <c r="V53" s="6">
        <v>95</v>
      </c>
      <c r="W53" s="4">
        <v>4676282.45</v>
      </c>
      <c r="X53" s="4">
        <v>4676282.45</v>
      </c>
      <c r="Y53" s="4">
        <v>4902104.45</v>
      </c>
      <c r="Z53" s="4">
        <v>4902104.45</v>
      </c>
      <c r="AA53" s="4">
        <v>3.4</v>
      </c>
      <c r="AB53" s="6">
        <v>167021.90909999999</v>
      </c>
      <c r="AC53" s="4">
        <v>167022</v>
      </c>
      <c r="AD53" s="4">
        <v>167022</v>
      </c>
      <c r="AE53" s="6">
        <v>-9.0899999999999995E-2</v>
      </c>
      <c r="AF53" s="4">
        <v>0</v>
      </c>
      <c r="AG53" s="7">
        <v>16</v>
      </c>
      <c r="AH53" s="2" t="s">
        <v>52</v>
      </c>
      <c r="AI53">
        <v>0</v>
      </c>
      <c r="AJ53" s="3">
        <v>41912.686261574097</v>
      </c>
      <c r="AK53" s="2" t="s">
        <v>2170</v>
      </c>
    </row>
    <row r="54" spans="1:37" x14ac:dyDescent="0.15">
      <c r="A54" s="2" t="s">
        <v>2169</v>
      </c>
      <c r="B54">
        <v>612</v>
      </c>
      <c r="C54" s="3">
        <v>41130</v>
      </c>
      <c r="D54" s="2" t="s">
        <v>37</v>
      </c>
      <c r="E54" s="2" t="s">
        <v>2168</v>
      </c>
      <c r="F54" s="2" t="s">
        <v>38</v>
      </c>
      <c r="G54" s="2" t="s">
        <v>147</v>
      </c>
      <c r="H54" s="2" t="s">
        <v>148</v>
      </c>
      <c r="I54" s="4">
        <v>7737463.3499999996</v>
      </c>
      <c r="J54" s="4">
        <v>0</v>
      </c>
      <c r="K54" s="4">
        <v>0</v>
      </c>
      <c r="L54" s="5"/>
      <c r="M54" s="5">
        <v>3</v>
      </c>
      <c r="N54" s="6">
        <v>232123.90049999999</v>
      </c>
      <c r="O54" s="4">
        <v>232124</v>
      </c>
      <c r="P54" s="4">
        <v>232124</v>
      </c>
      <c r="Q54" s="6">
        <v>-9.9500000000000005E-2</v>
      </c>
      <c r="R54" s="4">
        <v>7737463.3600000003</v>
      </c>
      <c r="S54" s="4">
        <v>7737463.3600000003</v>
      </c>
      <c r="T54" s="4">
        <v>7737463.3600000003</v>
      </c>
      <c r="U54" s="4">
        <v>7737463.3600000003</v>
      </c>
      <c r="V54" s="6">
        <v>100</v>
      </c>
      <c r="W54" s="4">
        <v>6908727.1100000003</v>
      </c>
      <c r="X54" s="4">
        <v>6908727.1100000003</v>
      </c>
      <c r="Y54" s="4">
        <v>7737228.21</v>
      </c>
      <c r="Z54" s="4">
        <v>7737228.21</v>
      </c>
      <c r="AA54" s="4">
        <v>3.4</v>
      </c>
      <c r="AB54" s="6">
        <v>263073.75420000002</v>
      </c>
      <c r="AC54" s="4">
        <v>263074</v>
      </c>
      <c r="AD54" s="4">
        <v>263074</v>
      </c>
      <c r="AE54" s="6">
        <v>-0.24579999999999999</v>
      </c>
      <c r="AF54" s="4">
        <v>0</v>
      </c>
      <c r="AG54" s="7">
        <v>10</v>
      </c>
      <c r="AH54" s="2" t="s">
        <v>66</v>
      </c>
      <c r="AI54">
        <v>0</v>
      </c>
      <c r="AJ54" s="3">
        <v>41912.686261574097</v>
      </c>
      <c r="AK54" s="2" t="s">
        <v>2167</v>
      </c>
    </row>
    <row r="55" spans="1:37" x14ac:dyDescent="0.15">
      <c r="A55" s="2" t="s">
        <v>2166</v>
      </c>
      <c r="B55">
        <v>620</v>
      </c>
      <c r="C55" s="3">
        <v>41130</v>
      </c>
      <c r="D55" s="2" t="s">
        <v>37</v>
      </c>
      <c r="E55" s="2" t="s">
        <v>2165</v>
      </c>
      <c r="F55" s="2" t="s">
        <v>38</v>
      </c>
      <c r="G55" s="2" t="s">
        <v>149</v>
      </c>
      <c r="H55" s="2" t="s">
        <v>150</v>
      </c>
      <c r="I55" s="4">
        <v>1615034.9</v>
      </c>
      <c r="J55" s="4">
        <v>20970833.399999999</v>
      </c>
      <c r="K55" s="4">
        <v>20970833.399999999</v>
      </c>
      <c r="L55" s="5"/>
      <c r="M55" s="5">
        <v>3</v>
      </c>
      <c r="N55" s="6">
        <v>677576.049</v>
      </c>
      <c r="O55" s="4">
        <v>677576</v>
      </c>
      <c r="P55" s="4">
        <v>677576</v>
      </c>
      <c r="Q55" s="6">
        <v>4.9000000000000002E-2</v>
      </c>
      <c r="R55" s="4">
        <v>19750000</v>
      </c>
      <c r="S55" s="4">
        <v>19750000</v>
      </c>
      <c r="T55" s="4">
        <v>18850000</v>
      </c>
      <c r="U55" s="4">
        <v>18850000</v>
      </c>
      <c r="V55" s="6">
        <v>83.459299999999999</v>
      </c>
      <c r="W55" s="4">
        <v>16568345.4</v>
      </c>
      <c r="X55" s="4">
        <v>16568345.4</v>
      </c>
      <c r="Y55" s="4">
        <v>18818897.609999999</v>
      </c>
      <c r="Z55" s="4">
        <v>18818897.609999999</v>
      </c>
      <c r="AA55" s="4">
        <v>3.4</v>
      </c>
      <c r="AB55" s="6">
        <v>671500</v>
      </c>
      <c r="AC55" s="4">
        <v>671500</v>
      </c>
      <c r="AD55" s="4">
        <v>671500</v>
      </c>
      <c r="AE55" s="6">
        <v>0</v>
      </c>
      <c r="AF55" s="4">
        <v>0</v>
      </c>
      <c r="AG55" s="7">
        <v>0</v>
      </c>
      <c r="AH55" s="2" t="s">
        <v>37</v>
      </c>
      <c r="AI55">
        <v>0</v>
      </c>
      <c r="AJ55" s="3">
        <v>41912.686261574097</v>
      </c>
      <c r="AK55" s="2" t="s">
        <v>2164</v>
      </c>
    </row>
    <row r="56" spans="1:37" x14ac:dyDescent="0.15">
      <c r="A56" s="2" t="s">
        <v>2163</v>
      </c>
      <c r="B56">
        <v>64</v>
      </c>
      <c r="C56" s="3">
        <v>41153</v>
      </c>
      <c r="D56" s="2" t="s">
        <v>37</v>
      </c>
      <c r="E56" s="2" t="s">
        <v>2162</v>
      </c>
      <c r="F56" s="2" t="s">
        <v>41</v>
      </c>
      <c r="G56" s="2" t="s">
        <v>151</v>
      </c>
      <c r="H56" s="2" t="s">
        <v>152</v>
      </c>
      <c r="I56" s="4">
        <v>10102313.33</v>
      </c>
      <c r="J56" s="4">
        <v>0</v>
      </c>
      <c r="K56" s="4">
        <v>0</v>
      </c>
      <c r="L56" s="5">
        <v>0</v>
      </c>
      <c r="M56" s="5">
        <v>5</v>
      </c>
      <c r="N56" s="6">
        <v>505115.66649999999</v>
      </c>
      <c r="O56" s="4">
        <v>505116</v>
      </c>
      <c r="P56" s="4">
        <v>505116</v>
      </c>
      <c r="Q56" s="6">
        <v>-0.33350000000000002</v>
      </c>
      <c r="R56" s="4">
        <v>0</v>
      </c>
      <c r="S56" s="4">
        <v>0</v>
      </c>
      <c r="T56" s="4">
        <v>8081848.8399999999</v>
      </c>
      <c r="U56" s="4">
        <v>8081848.8399999999</v>
      </c>
      <c r="V56" s="6">
        <v>80</v>
      </c>
      <c r="W56" s="4">
        <v>0</v>
      </c>
      <c r="X56" s="4">
        <v>0</v>
      </c>
      <c r="Y56" s="4">
        <v>7517811.9900000002</v>
      </c>
      <c r="Z56" s="4">
        <v>7517811.9900000002</v>
      </c>
      <c r="AA56" s="4"/>
      <c r="AB56" s="6">
        <v>0</v>
      </c>
      <c r="AC56" s="4">
        <v>306828.08</v>
      </c>
      <c r="AD56" s="4">
        <v>306828.08</v>
      </c>
      <c r="AE56" s="6">
        <v>-306828.08</v>
      </c>
      <c r="AF56" s="4">
        <v>0</v>
      </c>
      <c r="AG56" s="7">
        <v>0</v>
      </c>
      <c r="AH56" s="2" t="s">
        <v>37</v>
      </c>
      <c r="AI56">
        <v>0</v>
      </c>
      <c r="AJ56" s="3">
        <v>41912.6862384259</v>
      </c>
      <c r="AK56" s="2" t="s">
        <v>2161</v>
      </c>
    </row>
    <row r="57" spans="1:37" x14ac:dyDescent="0.15">
      <c r="A57" s="2" t="s">
        <v>2160</v>
      </c>
      <c r="B57">
        <v>628</v>
      </c>
      <c r="C57" s="3">
        <v>41155</v>
      </c>
      <c r="D57" s="2" t="s">
        <v>37</v>
      </c>
      <c r="E57" s="2" t="s">
        <v>2159</v>
      </c>
      <c r="F57" s="2" t="s">
        <v>38</v>
      </c>
      <c r="G57" s="2" t="s">
        <v>153</v>
      </c>
      <c r="H57" s="2" t="s">
        <v>154</v>
      </c>
      <c r="I57" s="4">
        <v>20572132.07</v>
      </c>
      <c r="J57" s="4">
        <v>0</v>
      </c>
      <c r="K57" s="4">
        <v>0</v>
      </c>
      <c r="L57" s="5"/>
      <c r="M57" s="5">
        <v>3</v>
      </c>
      <c r="N57" s="6">
        <v>617163.9621</v>
      </c>
      <c r="O57" s="4">
        <v>617164</v>
      </c>
      <c r="P57" s="4">
        <v>617164</v>
      </c>
      <c r="Q57" s="6">
        <v>-3.7900000000000003E-2</v>
      </c>
      <c r="R57" s="4">
        <v>8450000</v>
      </c>
      <c r="S57" s="4">
        <v>8450000</v>
      </c>
      <c r="T57" s="4">
        <v>11402300</v>
      </c>
      <c r="U57" s="4">
        <v>11402300</v>
      </c>
      <c r="V57" s="6">
        <v>55.426000000000002</v>
      </c>
      <c r="W57" s="4">
        <v>9476128.4499999993</v>
      </c>
      <c r="X57" s="4">
        <v>9476128.4499999993</v>
      </c>
      <c r="Y57" s="4">
        <v>10916099.67</v>
      </c>
      <c r="Z57" s="4">
        <v>10916099.67</v>
      </c>
      <c r="AA57" s="4">
        <v>3.4</v>
      </c>
      <c r="AB57" s="6">
        <v>287300</v>
      </c>
      <c r="AC57" s="4">
        <v>287300</v>
      </c>
      <c r="AD57" s="4">
        <v>287300</v>
      </c>
      <c r="AE57" s="6">
        <v>0</v>
      </c>
      <c r="AF57" s="4">
        <v>0</v>
      </c>
      <c r="AG57" s="7">
        <v>55</v>
      </c>
      <c r="AH57" s="2" t="s">
        <v>66</v>
      </c>
      <c r="AI57">
        <v>0</v>
      </c>
      <c r="AJ57" s="3">
        <v>41912.686261574097</v>
      </c>
      <c r="AK57" s="2" t="s">
        <v>2158</v>
      </c>
    </row>
    <row r="58" spans="1:37" x14ac:dyDescent="0.15">
      <c r="A58" s="2" t="s">
        <v>2157</v>
      </c>
      <c r="B58">
        <v>637</v>
      </c>
      <c r="C58" s="3">
        <v>41155</v>
      </c>
      <c r="D58" s="2" t="s">
        <v>37</v>
      </c>
      <c r="E58" s="2" t="s">
        <v>2156</v>
      </c>
      <c r="F58" s="2" t="s">
        <v>38</v>
      </c>
      <c r="G58" s="2" t="s">
        <v>155</v>
      </c>
      <c r="H58" s="2" t="s">
        <v>156</v>
      </c>
      <c r="I58" s="4">
        <v>500000</v>
      </c>
      <c r="J58" s="4">
        <v>1680151.09</v>
      </c>
      <c r="K58" s="4">
        <v>1680151.09</v>
      </c>
      <c r="L58" s="5"/>
      <c r="M58" s="5">
        <v>3</v>
      </c>
      <c r="N58" s="6">
        <v>65404.532700000003</v>
      </c>
      <c r="O58" s="4">
        <v>65405</v>
      </c>
      <c r="P58" s="4">
        <v>65405</v>
      </c>
      <c r="Q58" s="6">
        <v>-0.46729999999999999</v>
      </c>
      <c r="R58" s="4">
        <v>1736110.48</v>
      </c>
      <c r="S58" s="4">
        <v>1736110.48</v>
      </c>
      <c r="T58" s="4">
        <v>1681703.26</v>
      </c>
      <c r="U58" s="4">
        <v>1681703.26</v>
      </c>
      <c r="V58" s="6">
        <v>77.137</v>
      </c>
      <c r="W58" s="4">
        <v>1289913.1599999999</v>
      </c>
      <c r="X58" s="4">
        <v>1289913.1599999999</v>
      </c>
      <c r="Y58" s="4">
        <v>1348940.16</v>
      </c>
      <c r="Z58" s="4">
        <v>1348940.16</v>
      </c>
      <c r="AA58" s="4">
        <v>3.4</v>
      </c>
      <c r="AB58" s="6">
        <v>59027.756300000001</v>
      </c>
      <c r="AC58" s="4">
        <v>59027</v>
      </c>
      <c r="AD58" s="4">
        <v>59027</v>
      </c>
      <c r="AE58" s="6">
        <v>0.75629999999999997</v>
      </c>
      <c r="AF58" s="4">
        <v>0</v>
      </c>
      <c r="AG58" s="7">
        <v>63</v>
      </c>
      <c r="AH58" s="2" t="s">
        <v>66</v>
      </c>
      <c r="AI58">
        <v>0</v>
      </c>
      <c r="AJ58" s="3">
        <v>41912.686261574097</v>
      </c>
      <c r="AK58" s="2" t="s">
        <v>2155</v>
      </c>
    </row>
    <row r="59" spans="1:37" x14ac:dyDescent="0.15">
      <c r="A59" s="2" t="s">
        <v>2154</v>
      </c>
      <c r="B59">
        <v>648</v>
      </c>
      <c r="C59" s="3">
        <v>41172</v>
      </c>
      <c r="D59" s="2" t="s">
        <v>37</v>
      </c>
      <c r="E59" s="2" t="s">
        <v>2153</v>
      </c>
      <c r="F59" s="2" t="s">
        <v>38</v>
      </c>
      <c r="G59" s="2" t="s">
        <v>157</v>
      </c>
      <c r="H59" s="2" t="s">
        <v>158</v>
      </c>
      <c r="I59" s="4">
        <v>7729248</v>
      </c>
      <c r="J59" s="4">
        <v>364302</v>
      </c>
      <c r="K59" s="4">
        <v>364302</v>
      </c>
      <c r="L59" s="5"/>
      <c r="M59" s="5">
        <v>3</v>
      </c>
      <c r="N59" s="6">
        <v>242806.5</v>
      </c>
      <c r="O59" s="4">
        <v>242806</v>
      </c>
      <c r="P59" s="4">
        <v>242806</v>
      </c>
      <c r="Q59" s="6">
        <v>0.5</v>
      </c>
      <c r="R59" s="4">
        <v>5370000</v>
      </c>
      <c r="S59" s="4">
        <v>5370000</v>
      </c>
      <c r="T59" s="4">
        <v>5370000</v>
      </c>
      <c r="U59" s="4">
        <v>5370000</v>
      </c>
      <c r="V59" s="6">
        <v>66.349100000000007</v>
      </c>
      <c r="W59" s="4">
        <v>4906391</v>
      </c>
      <c r="X59" s="4">
        <v>4906391</v>
      </c>
      <c r="Y59" s="4">
        <v>5098498</v>
      </c>
      <c r="Z59" s="4">
        <v>5098498</v>
      </c>
      <c r="AA59" s="4">
        <v>3.4</v>
      </c>
      <c r="AB59" s="6">
        <v>182580</v>
      </c>
      <c r="AC59" s="4">
        <v>173400</v>
      </c>
      <c r="AD59" s="4">
        <v>173400</v>
      </c>
      <c r="AE59" s="6">
        <v>9180</v>
      </c>
      <c r="AF59" s="4">
        <v>0</v>
      </c>
      <c r="AG59" s="7">
        <v>50</v>
      </c>
      <c r="AH59" s="2" t="s">
        <v>159</v>
      </c>
      <c r="AI59">
        <v>0</v>
      </c>
      <c r="AJ59" s="3">
        <v>41912.686261574097</v>
      </c>
      <c r="AK59" s="2" t="s">
        <v>2152</v>
      </c>
    </row>
    <row r="60" spans="1:37" x14ac:dyDescent="0.15">
      <c r="A60" s="2" t="s">
        <v>2151</v>
      </c>
      <c r="B60">
        <v>69</v>
      </c>
      <c r="C60" s="3">
        <v>41183</v>
      </c>
      <c r="D60" s="2" t="s">
        <v>37</v>
      </c>
      <c r="E60" s="2" t="s">
        <v>2150</v>
      </c>
      <c r="F60" s="2" t="s">
        <v>41</v>
      </c>
      <c r="G60" s="2" t="s">
        <v>160</v>
      </c>
      <c r="H60" s="2" t="s">
        <v>161</v>
      </c>
      <c r="I60" s="4">
        <v>5400000</v>
      </c>
      <c r="J60" s="4">
        <v>0</v>
      </c>
      <c r="K60" s="4">
        <v>0</v>
      </c>
      <c r="L60" s="5"/>
      <c r="M60" s="5">
        <v>4</v>
      </c>
      <c r="N60" s="6">
        <v>216000</v>
      </c>
      <c r="O60" s="4">
        <v>216000</v>
      </c>
      <c r="P60" s="4">
        <v>216000</v>
      </c>
      <c r="Q60" s="6">
        <v>0</v>
      </c>
      <c r="R60" s="4">
        <v>0</v>
      </c>
      <c r="S60" s="4">
        <v>0</v>
      </c>
      <c r="T60" s="4">
        <v>4236242</v>
      </c>
      <c r="U60" s="4">
        <v>4236242</v>
      </c>
      <c r="V60" s="6">
        <v>78.448899999999995</v>
      </c>
      <c r="W60" s="4">
        <v>0</v>
      </c>
      <c r="X60" s="4">
        <v>0</v>
      </c>
      <c r="Y60" s="4">
        <v>4091973.96</v>
      </c>
      <c r="Z60" s="4">
        <v>4091973.96</v>
      </c>
      <c r="AA60" s="4">
        <v>3.4</v>
      </c>
      <c r="AB60" s="6">
        <v>183600</v>
      </c>
      <c r="AC60" s="4">
        <v>144033</v>
      </c>
      <c r="AD60" s="4">
        <v>144033</v>
      </c>
      <c r="AE60" s="6">
        <v>39567</v>
      </c>
      <c r="AF60" s="4">
        <v>0</v>
      </c>
      <c r="AG60" s="7">
        <v>0</v>
      </c>
      <c r="AH60" s="2" t="s">
        <v>37</v>
      </c>
      <c r="AI60">
        <v>0</v>
      </c>
      <c r="AJ60" s="3">
        <v>41912.6862384259</v>
      </c>
      <c r="AK60" s="2" t="s">
        <v>2149</v>
      </c>
    </row>
    <row r="61" spans="1:37" x14ac:dyDescent="0.15">
      <c r="A61" s="2" t="s">
        <v>2148</v>
      </c>
      <c r="B61">
        <v>71</v>
      </c>
      <c r="C61" s="3">
        <v>41183</v>
      </c>
      <c r="D61" s="2" t="s">
        <v>37</v>
      </c>
      <c r="E61" s="2" t="s">
        <v>2147</v>
      </c>
      <c r="F61" s="2" t="s">
        <v>41</v>
      </c>
      <c r="G61" s="2" t="s">
        <v>162</v>
      </c>
      <c r="H61" s="2" t="s">
        <v>161</v>
      </c>
      <c r="I61" s="4">
        <v>248322.8</v>
      </c>
      <c r="J61" s="4">
        <v>0</v>
      </c>
      <c r="K61" s="4">
        <v>0</v>
      </c>
      <c r="L61" s="5"/>
      <c r="M61" s="5">
        <v>4</v>
      </c>
      <c r="N61" s="6">
        <v>9932.9120000000003</v>
      </c>
      <c r="O61" s="4">
        <v>9933</v>
      </c>
      <c r="P61" s="4">
        <v>9933</v>
      </c>
      <c r="Q61" s="6">
        <v>-8.7999999999999995E-2</v>
      </c>
      <c r="R61" s="4">
        <v>0</v>
      </c>
      <c r="S61" s="4">
        <v>0</v>
      </c>
      <c r="T61" s="4">
        <v>0</v>
      </c>
      <c r="U61" s="4">
        <v>0</v>
      </c>
      <c r="V61" s="6">
        <v>0</v>
      </c>
      <c r="W61" s="4">
        <v>0</v>
      </c>
      <c r="X61" s="4">
        <v>0</v>
      </c>
      <c r="Y61" s="4">
        <v>0</v>
      </c>
      <c r="Z61" s="4">
        <v>0</v>
      </c>
      <c r="AA61" s="4"/>
      <c r="AB61" s="6">
        <v>0</v>
      </c>
      <c r="AC61" s="4">
        <v>0</v>
      </c>
      <c r="AD61" s="4">
        <v>0</v>
      </c>
      <c r="AE61" s="6">
        <v>0</v>
      </c>
      <c r="AF61" s="4">
        <v>0</v>
      </c>
      <c r="AG61" s="7">
        <v>0</v>
      </c>
      <c r="AH61" s="2" t="s">
        <v>37</v>
      </c>
      <c r="AI61">
        <v>0</v>
      </c>
      <c r="AJ61" s="3">
        <v>41912.6862384259</v>
      </c>
      <c r="AK61" s="2" t="s">
        <v>2146</v>
      </c>
    </row>
    <row r="62" spans="1:37" x14ac:dyDescent="0.15">
      <c r="A62" s="2" t="s">
        <v>2145</v>
      </c>
      <c r="B62">
        <v>76</v>
      </c>
      <c r="C62" s="3">
        <v>41214</v>
      </c>
      <c r="D62" s="2" t="s">
        <v>37</v>
      </c>
      <c r="E62" s="2" t="s">
        <v>2144</v>
      </c>
      <c r="F62" s="2" t="s">
        <v>41</v>
      </c>
      <c r="G62" s="2" t="s">
        <v>163</v>
      </c>
      <c r="H62" s="2" t="s">
        <v>164</v>
      </c>
      <c r="I62" s="4">
        <v>1095654</v>
      </c>
      <c r="J62" s="4">
        <v>0</v>
      </c>
      <c r="K62" s="4">
        <v>0</v>
      </c>
      <c r="L62" s="5"/>
      <c r="M62" s="5">
        <v>4</v>
      </c>
      <c r="N62" s="6">
        <v>43826.16</v>
      </c>
      <c r="O62" s="4">
        <v>43827</v>
      </c>
      <c r="P62" s="4">
        <v>43827</v>
      </c>
      <c r="Q62" s="6">
        <v>-0.84</v>
      </c>
      <c r="R62" s="4">
        <v>0</v>
      </c>
      <c r="S62" s="4">
        <v>0</v>
      </c>
      <c r="T62" s="4">
        <v>930000</v>
      </c>
      <c r="U62" s="4">
        <v>930000</v>
      </c>
      <c r="V62" s="6">
        <v>84.880799999999994</v>
      </c>
      <c r="W62" s="4">
        <v>0</v>
      </c>
      <c r="X62" s="4">
        <v>0</v>
      </c>
      <c r="Y62" s="4">
        <v>898120.15</v>
      </c>
      <c r="Z62" s="4">
        <v>898120.15</v>
      </c>
      <c r="AA62" s="4">
        <v>3.46</v>
      </c>
      <c r="AB62" s="6">
        <v>37909.628400000001</v>
      </c>
      <c r="AC62" s="4">
        <v>31620</v>
      </c>
      <c r="AD62" s="4">
        <v>31620</v>
      </c>
      <c r="AE62" s="6">
        <v>6289.6283999999996</v>
      </c>
      <c r="AF62" s="4">
        <v>0</v>
      </c>
      <c r="AG62" s="7">
        <v>0</v>
      </c>
      <c r="AH62" s="2" t="s">
        <v>37</v>
      </c>
      <c r="AI62">
        <v>0</v>
      </c>
      <c r="AJ62" s="3">
        <v>41912.6862384259</v>
      </c>
      <c r="AK62" s="2" t="s">
        <v>2143</v>
      </c>
    </row>
    <row r="63" spans="1:37" x14ac:dyDescent="0.15">
      <c r="A63" s="2" t="s">
        <v>2142</v>
      </c>
      <c r="B63">
        <v>656</v>
      </c>
      <c r="C63" s="3">
        <v>41242</v>
      </c>
      <c r="D63" s="2" t="s">
        <v>37</v>
      </c>
      <c r="E63" s="2" t="s">
        <v>2141</v>
      </c>
      <c r="F63" s="2" t="s">
        <v>38</v>
      </c>
      <c r="G63" s="2" t="s">
        <v>165</v>
      </c>
      <c r="H63" s="2" t="s">
        <v>166</v>
      </c>
      <c r="I63" s="4">
        <v>1947790</v>
      </c>
      <c r="J63" s="4">
        <v>3958320</v>
      </c>
      <c r="K63" s="4">
        <v>3958320</v>
      </c>
      <c r="L63" s="5"/>
      <c r="M63" s="5">
        <v>3</v>
      </c>
      <c r="N63" s="6">
        <v>177183.3</v>
      </c>
      <c r="O63" s="4">
        <v>177183</v>
      </c>
      <c r="P63" s="4">
        <v>177183</v>
      </c>
      <c r="Q63" s="6">
        <v>0.3</v>
      </c>
      <c r="R63" s="4">
        <v>4929108.8</v>
      </c>
      <c r="S63" s="4">
        <v>4929108.8</v>
      </c>
      <c r="T63" s="4">
        <v>4679800</v>
      </c>
      <c r="U63" s="4">
        <v>4679800</v>
      </c>
      <c r="V63" s="6">
        <v>79.236599999999996</v>
      </c>
      <c r="W63" s="4">
        <v>3570320.71</v>
      </c>
      <c r="X63" s="4">
        <v>3570320.71</v>
      </c>
      <c r="Y63" s="4">
        <v>3905909.71</v>
      </c>
      <c r="Z63" s="4">
        <v>3905909.71</v>
      </c>
      <c r="AA63" s="4">
        <v>3.4</v>
      </c>
      <c r="AB63" s="6">
        <v>167589.6992</v>
      </c>
      <c r="AC63" s="4">
        <v>167589</v>
      </c>
      <c r="AD63" s="4">
        <v>167589</v>
      </c>
      <c r="AE63" s="6">
        <v>0.69920000000000004</v>
      </c>
      <c r="AF63" s="4">
        <v>0</v>
      </c>
      <c r="AG63" s="7">
        <v>0</v>
      </c>
      <c r="AH63" s="2" t="s">
        <v>37</v>
      </c>
      <c r="AI63">
        <v>0</v>
      </c>
      <c r="AJ63" s="3">
        <v>41912.686261574097</v>
      </c>
      <c r="AK63" s="2" t="s">
        <v>2140</v>
      </c>
    </row>
    <row r="64" spans="1:37" x14ac:dyDescent="0.15">
      <c r="A64" s="2" t="s">
        <v>2139</v>
      </c>
      <c r="B64">
        <v>87</v>
      </c>
      <c r="C64" s="3">
        <v>41244</v>
      </c>
      <c r="D64" s="2" t="s">
        <v>37</v>
      </c>
      <c r="E64" s="2" t="s">
        <v>2138</v>
      </c>
      <c r="F64" s="2" t="s">
        <v>41</v>
      </c>
      <c r="G64" s="2" t="s">
        <v>167</v>
      </c>
      <c r="H64" s="2" t="s">
        <v>168</v>
      </c>
      <c r="I64" s="4">
        <v>1424272.9</v>
      </c>
      <c r="J64" s="4">
        <v>0</v>
      </c>
      <c r="K64" s="4">
        <v>0</v>
      </c>
      <c r="L64" s="5">
        <v>679820</v>
      </c>
      <c r="M64" s="5">
        <v>4</v>
      </c>
      <c r="N64" s="6">
        <v>56970.915999999997</v>
      </c>
      <c r="O64" s="4">
        <v>27192.799999999999</v>
      </c>
      <c r="P64" s="4">
        <v>27192.799999999999</v>
      </c>
      <c r="Q64" s="6">
        <v>29778.116000000002</v>
      </c>
      <c r="R64" s="4">
        <v>0</v>
      </c>
      <c r="S64" s="4">
        <v>0</v>
      </c>
      <c r="T64" s="4">
        <v>646009</v>
      </c>
      <c r="U64" s="4">
        <v>646009</v>
      </c>
      <c r="V64" s="6">
        <v>95.026499999999999</v>
      </c>
      <c r="W64" s="4">
        <v>0</v>
      </c>
      <c r="X64" s="4">
        <v>0</v>
      </c>
      <c r="Y64" s="4">
        <v>620287.39</v>
      </c>
      <c r="Z64" s="4">
        <v>620287.39</v>
      </c>
      <c r="AA64" s="4">
        <v>3.4</v>
      </c>
      <c r="AB64" s="6">
        <v>23113.88</v>
      </c>
      <c r="AC64" s="4">
        <v>21965.39</v>
      </c>
      <c r="AD64" s="4">
        <v>21965.39</v>
      </c>
      <c r="AE64" s="6">
        <v>1148.49</v>
      </c>
      <c r="AF64" s="4">
        <v>0</v>
      </c>
      <c r="AG64" s="7">
        <v>0</v>
      </c>
      <c r="AH64" s="2" t="s">
        <v>37</v>
      </c>
      <c r="AI64">
        <v>0</v>
      </c>
      <c r="AJ64" s="3">
        <v>41912.6862384259</v>
      </c>
      <c r="AK64" s="2" t="s">
        <v>2137</v>
      </c>
    </row>
    <row r="65" spans="1:37" x14ac:dyDescent="0.15">
      <c r="A65" s="2" t="s">
        <v>2136</v>
      </c>
      <c r="B65">
        <v>81</v>
      </c>
      <c r="C65" s="3">
        <v>41244</v>
      </c>
      <c r="D65" s="2" t="s">
        <v>37</v>
      </c>
      <c r="E65" s="2" t="s">
        <v>2135</v>
      </c>
      <c r="F65" s="2" t="s">
        <v>41</v>
      </c>
      <c r="G65" s="2" t="s">
        <v>169</v>
      </c>
      <c r="H65" s="2" t="s">
        <v>170</v>
      </c>
      <c r="I65" s="4">
        <v>7400000</v>
      </c>
      <c r="J65" s="4">
        <v>0</v>
      </c>
      <c r="K65" s="4">
        <v>0</v>
      </c>
      <c r="L65" s="5"/>
      <c r="M65" s="5">
        <v>4</v>
      </c>
      <c r="N65" s="6">
        <v>296000</v>
      </c>
      <c r="O65" s="4">
        <v>296000</v>
      </c>
      <c r="P65" s="4">
        <v>296000</v>
      </c>
      <c r="Q65" s="6">
        <v>0</v>
      </c>
      <c r="R65" s="4">
        <v>0</v>
      </c>
      <c r="S65" s="4">
        <v>0</v>
      </c>
      <c r="T65" s="4">
        <v>3132050</v>
      </c>
      <c r="U65" s="4">
        <v>3132050</v>
      </c>
      <c r="V65" s="6">
        <v>42.325000000000003</v>
      </c>
      <c r="W65" s="4">
        <v>0</v>
      </c>
      <c r="X65" s="4">
        <v>0</v>
      </c>
      <c r="Y65" s="4">
        <v>3103690</v>
      </c>
      <c r="Z65" s="4">
        <v>3103690</v>
      </c>
      <c r="AA65" s="4">
        <v>3.4</v>
      </c>
      <c r="AB65" s="6">
        <v>251600</v>
      </c>
      <c r="AC65" s="4">
        <v>54365.42</v>
      </c>
      <c r="AD65" s="4">
        <v>54365.42</v>
      </c>
      <c r="AE65" s="6">
        <v>197234.58</v>
      </c>
      <c r="AF65" s="4">
        <v>0</v>
      </c>
      <c r="AG65" s="7">
        <v>0</v>
      </c>
      <c r="AH65" s="2" t="s">
        <v>37</v>
      </c>
      <c r="AI65">
        <v>0</v>
      </c>
      <c r="AJ65" s="3">
        <v>41912.6862384259</v>
      </c>
      <c r="AK65" s="2" t="s">
        <v>2134</v>
      </c>
    </row>
    <row r="66" spans="1:37" x14ac:dyDescent="0.15">
      <c r="A66" s="2" t="s">
        <v>2133</v>
      </c>
      <c r="B66">
        <v>89</v>
      </c>
      <c r="C66" s="3">
        <v>41244</v>
      </c>
      <c r="D66" s="2" t="s">
        <v>37</v>
      </c>
      <c r="E66" s="2" t="s">
        <v>2132</v>
      </c>
      <c r="F66" s="2" t="s">
        <v>41</v>
      </c>
      <c r="G66" s="2" t="s">
        <v>171</v>
      </c>
      <c r="H66" s="2" t="s">
        <v>172</v>
      </c>
      <c r="I66" s="4">
        <v>560000</v>
      </c>
      <c r="J66" s="4">
        <v>0</v>
      </c>
      <c r="K66" s="4">
        <v>0</v>
      </c>
      <c r="L66" s="5"/>
      <c r="M66" s="5">
        <v>6.5</v>
      </c>
      <c r="N66" s="6">
        <v>36400</v>
      </c>
      <c r="O66" s="4">
        <v>36400</v>
      </c>
      <c r="P66" s="4">
        <v>36400</v>
      </c>
      <c r="Q66" s="6">
        <v>0</v>
      </c>
      <c r="R66" s="4">
        <v>0</v>
      </c>
      <c r="S66" s="4">
        <v>0</v>
      </c>
      <c r="T66" s="4">
        <v>0</v>
      </c>
      <c r="U66" s="4">
        <v>0</v>
      </c>
      <c r="V66" s="6">
        <v>0</v>
      </c>
      <c r="W66" s="4">
        <v>0</v>
      </c>
      <c r="X66" s="4">
        <v>0</v>
      </c>
      <c r="Y66" s="4">
        <v>0</v>
      </c>
      <c r="Z66" s="4">
        <v>0</v>
      </c>
      <c r="AA66" s="4"/>
      <c r="AB66" s="6">
        <v>0</v>
      </c>
      <c r="AC66" s="4">
        <v>0</v>
      </c>
      <c r="AD66" s="4">
        <v>0</v>
      </c>
      <c r="AE66" s="6">
        <v>0</v>
      </c>
      <c r="AF66" s="4">
        <v>0</v>
      </c>
      <c r="AG66" s="7">
        <v>0</v>
      </c>
      <c r="AH66" s="2" t="s">
        <v>37</v>
      </c>
      <c r="AI66">
        <v>0</v>
      </c>
      <c r="AJ66" s="3">
        <v>41912.6862384259</v>
      </c>
      <c r="AK66" s="2" t="s">
        <v>2131</v>
      </c>
    </row>
    <row r="67" spans="1:37" x14ac:dyDescent="0.15">
      <c r="A67" s="2" t="s">
        <v>2130</v>
      </c>
      <c r="B67">
        <v>82</v>
      </c>
      <c r="C67" s="3">
        <v>41244</v>
      </c>
      <c r="D67" s="2" t="s">
        <v>37</v>
      </c>
      <c r="E67" s="2" t="s">
        <v>2129</v>
      </c>
      <c r="F67" s="2" t="s">
        <v>41</v>
      </c>
      <c r="G67" s="2" t="s">
        <v>175</v>
      </c>
      <c r="H67" s="2" t="s">
        <v>170</v>
      </c>
      <c r="I67" s="4">
        <v>1679000</v>
      </c>
      <c r="J67" s="4">
        <v>0</v>
      </c>
      <c r="K67" s="4">
        <v>0</v>
      </c>
      <c r="L67" s="5"/>
      <c r="M67" s="5">
        <v>3.6</v>
      </c>
      <c r="N67" s="6">
        <v>60444</v>
      </c>
      <c r="O67" s="4">
        <v>0</v>
      </c>
      <c r="P67" s="4">
        <v>0</v>
      </c>
      <c r="Q67" s="6">
        <v>60444</v>
      </c>
      <c r="R67" s="4">
        <v>0</v>
      </c>
      <c r="S67" s="4">
        <v>0</v>
      </c>
      <c r="T67" s="4">
        <v>0</v>
      </c>
      <c r="U67" s="4">
        <v>0</v>
      </c>
      <c r="V67" s="6">
        <v>0</v>
      </c>
      <c r="W67" s="4">
        <v>0</v>
      </c>
      <c r="X67" s="4">
        <v>0</v>
      </c>
      <c r="Y67" s="4">
        <v>0</v>
      </c>
      <c r="Z67" s="4">
        <v>0</v>
      </c>
      <c r="AA67" s="4">
        <v>3.4</v>
      </c>
      <c r="AB67" s="6">
        <v>57086</v>
      </c>
      <c r="AC67" s="4">
        <v>0</v>
      </c>
      <c r="AD67" s="4">
        <v>0</v>
      </c>
      <c r="AE67" s="6">
        <v>57086</v>
      </c>
      <c r="AF67" s="4">
        <v>0</v>
      </c>
      <c r="AG67" s="7">
        <v>0</v>
      </c>
      <c r="AH67" s="2" t="s">
        <v>37</v>
      </c>
      <c r="AI67">
        <v>0</v>
      </c>
      <c r="AJ67" s="3">
        <v>41912.6862384259</v>
      </c>
      <c r="AK67" s="2" t="s">
        <v>2128</v>
      </c>
    </row>
    <row r="68" spans="1:37" x14ac:dyDescent="0.15">
      <c r="A68" s="2" t="s">
        <v>2127</v>
      </c>
      <c r="B68">
        <v>94</v>
      </c>
      <c r="C68" s="3">
        <v>41244</v>
      </c>
      <c r="D68" s="2" t="s">
        <v>37</v>
      </c>
      <c r="E68" s="2" t="s">
        <v>2126</v>
      </c>
      <c r="F68" s="2" t="s">
        <v>41</v>
      </c>
      <c r="G68" s="2" t="s">
        <v>173</v>
      </c>
      <c r="H68" s="2" t="s">
        <v>174</v>
      </c>
      <c r="I68" s="4">
        <v>10496879</v>
      </c>
      <c r="J68" s="4">
        <v>0</v>
      </c>
      <c r="K68" s="4">
        <v>0</v>
      </c>
      <c r="L68" s="5">
        <v>12240225</v>
      </c>
      <c r="M68" s="5">
        <v>3.5</v>
      </c>
      <c r="N68" s="6">
        <v>367390.76500000001</v>
      </c>
      <c r="O68" s="4">
        <v>367390.76</v>
      </c>
      <c r="P68" s="4">
        <v>367390.76</v>
      </c>
      <c r="Q68" s="6">
        <v>5.0000000000000001E-3</v>
      </c>
      <c r="R68" s="4">
        <v>0</v>
      </c>
      <c r="S68" s="4">
        <v>0</v>
      </c>
      <c r="T68" s="4">
        <v>9807180.1999999993</v>
      </c>
      <c r="U68" s="4">
        <v>9807180.1999999993</v>
      </c>
      <c r="V68" s="6">
        <v>80.122500000000002</v>
      </c>
      <c r="W68" s="4">
        <v>0</v>
      </c>
      <c r="X68" s="4">
        <v>0</v>
      </c>
      <c r="Y68" s="4">
        <v>9234785.1899999995</v>
      </c>
      <c r="Z68" s="4">
        <v>9234785.1899999995</v>
      </c>
      <c r="AA68" s="4"/>
      <c r="AB68" s="6">
        <v>414478.41</v>
      </c>
      <c r="AC68" s="4">
        <v>414478.41</v>
      </c>
      <c r="AD68" s="4">
        <v>414478.41</v>
      </c>
      <c r="AE68" s="6">
        <v>0</v>
      </c>
      <c r="AF68" s="4">
        <v>0</v>
      </c>
      <c r="AG68" s="7">
        <v>0</v>
      </c>
      <c r="AH68" s="2" t="s">
        <v>37</v>
      </c>
      <c r="AI68">
        <v>0</v>
      </c>
      <c r="AJ68" s="3">
        <v>41912.6862384259</v>
      </c>
      <c r="AK68" s="2" t="s">
        <v>2125</v>
      </c>
    </row>
    <row r="69" spans="1:37" x14ac:dyDescent="0.15">
      <c r="A69" s="2" t="s">
        <v>2124</v>
      </c>
      <c r="B69">
        <v>99</v>
      </c>
      <c r="C69" s="3">
        <v>41275</v>
      </c>
      <c r="D69" s="2" t="s">
        <v>37</v>
      </c>
      <c r="E69" s="2" t="s">
        <v>2123</v>
      </c>
      <c r="F69" s="2" t="s">
        <v>41</v>
      </c>
      <c r="G69" s="2" t="s">
        <v>176</v>
      </c>
      <c r="H69" s="2" t="s">
        <v>177</v>
      </c>
      <c r="I69" s="4">
        <v>3323897.08</v>
      </c>
      <c r="J69" s="4">
        <v>0</v>
      </c>
      <c r="K69" s="4">
        <v>0</v>
      </c>
      <c r="L69" s="5">
        <v>4884000</v>
      </c>
      <c r="M69" s="5">
        <v>4</v>
      </c>
      <c r="N69" s="6">
        <v>132955.88320000001</v>
      </c>
      <c r="O69" s="4">
        <v>195360</v>
      </c>
      <c r="P69" s="4">
        <v>195360</v>
      </c>
      <c r="Q69" s="6">
        <v>-62404.116800000003</v>
      </c>
      <c r="R69" s="4">
        <v>0</v>
      </c>
      <c r="S69" s="4">
        <v>0</v>
      </c>
      <c r="T69" s="4">
        <v>3816858</v>
      </c>
      <c r="U69" s="4">
        <v>3816858</v>
      </c>
      <c r="V69" s="6">
        <v>78.150199999999998</v>
      </c>
      <c r="W69" s="4">
        <v>0</v>
      </c>
      <c r="X69" s="4">
        <v>0</v>
      </c>
      <c r="Y69" s="4">
        <v>3658680.67</v>
      </c>
      <c r="Z69" s="4">
        <v>3658680.67</v>
      </c>
      <c r="AA69" s="4">
        <v>3.4</v>
      </c>
      <c r="AB69" s="6">
        <v>113012.5007</v>
      </c>
      <c r="AC69" s="4">
        <v>129743</v>
      </c>
      <c r="AD69" s="4">
        <v>129743</v>
      </c>
      <c r="AE69" s="6">
        <v>-16730.499299999999</v>
      </c>
      <c r="AF69" s="4">
        <v>0</v>
      </c>
      <c r="AG69" s="7">
        <v>0</v>
      </c>
      <c r="AH69" s="2" t="s">
        <v>37</v>
      </c>
      <c r="AI69">
        <v>0</v>
      </c>
      <c r="AJ69" s="3">
        <v>41912.6862384259</v>
      </c>
      <c r="AK69" s="2" t="s">
        <v>2122</v>
      </c>
    </row>
    <row r="70" spans="1:37" x14ac:dyDescent="0.15">
      <c r="A70" s="2" t="s">
        <v>2121</v>
      </c>
      <c r="B70">
        <v>665</v>
      </c>
      <c r="C70" s="3">
        <v>41284</v>
      </c>
      <c r="D70" s="2" t="s">
        <v>37</v>
      </c>
      <c r="E70" s="2" t="s">
        <v>2120</v>
      </c>
      <c r="F70" s="2" t="s">
        <v>38</v>
      </c>
      <c r="G70" s="2" t="s">
        <v>178</v>
      </c>
      <c r="H70" s="2" t="s">
        <v>179</v>
      </c>
      <c r="I70" s="4">
        <v>1973264</v>
      </c>
      <c r="J70" s="4">
        <v>1837947</v>
      </c>
      <c r="K70" s="4">
        <v>1837947</v>
      </c>
      <c r="L70" s="5"/>
      <c r="M70" s="5">
        <v>3.6</v>
      </c>
      <c r="N70" s="6">
        <v>137203.59599999999</v>
      </c>
      <c r="O70" s="4">
        <v>137204</v>
      </c>
      <c r="P70" s="4">
        <v>137204</v>
      </c>
      <c r="Q70" s="6">
        <v>-0.40400000000000003</v>
      </c>
      <c r="R70" s="4">
        <v>1500000</v>
      </c>
      <c r="S70" s="4">
        <v>1500000</v>
      </c>
      <c r="T70" s="4">
        <v>1500000</v>
      </c>
      <c r="U70" s="4">
        <v>1500000</v>
      </c>
      <c r="V70" s="6">
        <v>39.357599999999998</v>
      </c>
      <c r="W70" s="4">
        <v>1373403.7</v>
      </c>
      <c r="X70" s="4">
        <v>1373403.7</v>
      </c>
      <c r="Y70" s="4">
        <v>1424403.7</v>
      </c>
      <c r="Z70" s="4">
        <v>1424403.7</v>
      </c>
      <c r="AA70" s="4">
        <v>3.4</v>
      </c>
      <c r="AB70" s="6">
        <v>51000</v>
      </c>
      <c r="AC70" s="4">
        <v>51000</v>
      </c>
      <c r="AD70" s="4">
        <v>51000</v>
      </c>
      <c r="AE70" s="6">
        <v>0</v>
      </c>
      <c r="AF70" s="4">
        <v>0</v>
      </c>
      <c r="AG70" s="7">
        <v>20</v>
      </c>
      <c r="AH70" s="2" t="s">
        <v>52</v>
      </c>
      <c r="AI70">
        <v>0</v>
      </c>
      <c r="AJ70" s="3">
        <v>41912.686261574097</v>
      </c>
      <c r="AK70" s="2" t="s">
        <v>2119</v>
      </c>
    </row>
    <row r="71" spans="1:37" x14ac:dyDescent="0.15">
      <c r="A71" s="2" t="s">
        <v>2118</v>
      </c>
      <c r="B71">
        <v>682</v>
      </c>
      <c r="C71" s="3">
        <v>41294</v>
      </c>
      <c r="D71" s="2" t="s">
        <v>37</v>
      </c>
      <c r="E71" s="2" t="s">
        <v>2117</v>
      </c>
      <c r="F71" s="2" t="s">
        <v>38</v>
      </c>
      <c r="G71" s="2" t="s">
        <v>180</v>
      </c>
      <c r="H71" s="2" t="s">
        <v>181</v>
      </c>
      <c r="I71" s="4">
        <v>5145173.21</v>
      </c>
      <c r="J71" s="4">
        <v>0</v>
      </c>
      <c r="K71" s="4">
        <v>0</v>
      </c>
      <c r="L71" s="5"/>
      <c r="M71" s="5">
        <v>3</v>
      </c>
      <c r="N71" s="6">
        <v>154355.19630000001</v>
      </c>
      <c r="O71" s="4">
        <v>154355</v>
      </c>
      <c r="P71" s="4">
        <v>154355</v>
      </c>
      <c r="Q71" s="6">
        <v>0.1963</v>
      </c>
      <c r="R71" s="4">
        <v>4112000</v>
      </c>
      <c r="S71" s="4">
        <v>4112000</v>
      </c>
      <c r="T71" s="4">
        <v>4112000</v>
      </c>
      <c r="U71" s="4">
        <v>4112000</v>
      </c>
      <c r="V71" s="6">
        <v>79.919600000000003</v>
      </c>
      <c r="W71" s="4">
        <v>3963512.81</v>
      </c>
      <c r="X71" s="4">
        <v>3963512.81</v>
      </c>
      <c r="Y71" s="4">
        <v>4103320.81</v>
      </c>
      <c r="Z71" s="4">
        <v>4103320.81</v>
      </c>
      <c r="AA71" s="4">
        <v>3.4</v>
      </c>
      <c r="AB71" s="6">
        <v>139808</v>
      </c>
      <c r="AC71" s="4">
        <v>139806</v>
      </c>
      <c r="AD71" s="4">
        <v>139806</v>
      </c>
      <c r="AE71" s="6">
        <v>2</v>
      </c>
      <c r="AF71" s="4">
        <v>0</v>
      </c>
      <c r="AG71" s="7">
        <v>75</v>
      </c>
      <c r="AH71" s="2" t="s">
        <v>100</v>
      </c>
      <c r="AI71">
        <v>0</v>
      </c>
      <c r="AJ71" s="3">
        <v>41912.686261574097</v>
      </c>
      <c r="AK71" s="2" t="s">
        <v>2116</v>
      </c>
    </row>
    <row r="72" spans="1:37" x14ac:dyDescent="0.15">
      <c r="A72" s="2" t="s">
        <v>2115</v>
      </c>
      <c r="B72">
        <v>698</v>
      </c>
      <c r="C72" s="3">
        <v>41294</v>
      </c>
      <c r="D72" s="2" t="s">
        <v>37</v>
      </c>
      <c r="E72" s="2" t="s">
        <v>2114</v>
      </c>
      <c r="F72" s="2" t="s">
        <v>38</v>
      </c>
      <c r="G72" s="2" t="s">
        <v>182</v>
      </c>
      <c r="H72" s="2" t="s">
        <v>183</v>
      </c>
      <c r="I72" s="4">
        <v>8338455</v>
      </c>
      <c r="J72" s="4">
        <v>1516000</v>
      </c>
      <c r="K72" s="4">
        <v>1516000</v>
      </c>
      <c r="L72" s="5"/>
      <c r="M72" s="5">
        <v>3</v>
      </c>
      <c r="N72" s="6">
        <v>295633.65000000002</v>
      </c>
      <c r="O72" s="4">
        <v>295634</v>
      </c>
      <c r="P72" s="4">
        <v>295634</v>
      </c>
      <c r="Q72" s="6">
        <v>-0.35</v>
      </c>
      <c r="R72" s="4">
        <v>4000000</v>
      </c>
      <c r="S72" s="4">
        <v>4000000</v>
      </c>
      <c r="T72" s="4">
        <v>6000000</v>
      </c>
      <c r="U72" s="4">
        <v>6000000</v>
      </c>
      <c r="V72" s="6">
        <v>60.886200000000002</v>
      </c>
      <c r="W72" s="4">
        <v>2634546</v>
      </c>
      <c r="X72" s="4">
        <v>2634546</v>
      </c>
      <c r="Y72" s="4">
        <v>4265306</v>
      </c>
      <c r="Z72" s="4">
        <v>4265306</v>
      </c>
      <c r="AA72" s="4"/>
      <c r="AB72" s="6"/>
      <c r="AC72" s="4">
        <v>0</v>
      </c>
      <c r="AD72" s="4">
        <v>0</v>
      </c>
      <c r="AE72" s="6"/>
      <c r="AF72" s="4">
        <v>0</v>
      </c>
      <c r="AG72" s="7">
        <v>75</v>
      </c>
      <c r="AH72" s="2" t="s">
        <v>52</v>
      </c>
      <c r="AI72">
        <v>0</v>
      </c>
      <c r="AJ72" s="3">
        <v>41912.686261574097</v>
      </c>
      <c r="AK72" s="2" t="s">
        <v>2113</v>
      </c>
    </row>
    <row r="73" spans="1:37" x14ac:dyDescent="0.15">
      <c r="A73" s="2" t="s">
        <v>2112</v>
      </c>
      <c r="B73">
        <v>674</v>
      </c>
      <c r="C73" s="3">
        <v>41297</v>
      </c>
      <c r="D73" s="2" t="s">
        <v>37</v>
      </c>
      <c r="E73" s="2" t="s">
        <v>2111</v>
      </c>
      <c r="F73" s="2" t="s">
        <v>38</v>
      </c>
      <c r="G73" s="2" t="s">
        <v>184</v>
      </c>
      <c r="H73" s="2" t="s">
        <v>185</v>
      </c>
      <c r="I73" s="4">
        <v>478942</v>
      </c>
      <c r="J73" s="4">
        <v>19643</v>
      </c>
      <c r="K73" s="4">
        <v>19643</v>
      </c>
      <c r="L73" s="5"/>
      <c r="M73" s="5">
        <v>3.6</v>
      </c>
      <c r="N73" s="6">
        <v>17949.060000000001</v>
      </c>
      <c r="O73" s="4">
        <v>17831</v>
      </c>
      <c r="P73" s="4">
        <v>17831</v>
      </c>
      <c r="Q73" s="6">
        <v>118.06</v>
      </c>
      <c r="R73" s="4">
        <v>498585</v>
      </c>
      <c r="S73" s="4">
        <v>498585</v>
      </c>
      <c r="T73" s="4">
        <v>473655</v>
      </c>
      <c r="U73" s="4">
        <v>473655</v>
      </c>
      <c r="V73" s="6">
        <v>94.999799999999993</v>
      </c>
      <c r="W73" s="4">
        <v>450000</v>
      </c>
      <c r="X73" s="4">
        <v>450000</v>
      </c>
      <c r="Y73" s="4">
        <v>466952</v>
      </c>
      <c r="Z73" s="4">
        <v>466952</v>
      </c>
      <c r="AA73" s="4">
        <v>3.4</v>
      </c>
      <c r="AB73" s="6">
        <v>16951.89</v>
      </c>
      <c r="AC73" s="4">
        <v>16952</v>
      </c>
      <c r="AD73" s="4">
        <v>16952</v>
      </c>
      <c r="AE73" s="6">
        <v>-0.11</v>
      </c>
      <c r="AF73" s="4">
        <v>0</v>
      </c>
      <c r="AG73" s="7">
        <v>6</v>
      </c>
      <c r="AH73" s="2" t="s">
        <v>52</v>
      </c>
      <c r="AI73">
        <v>0</v>
      </c>
      <c r="AJ73" s="3">
        <v>41912.686261574097</v>
      </c>
      <c r="AK73" s="2" t="s">
        <v>2110</v>
      </c>
    </row>
    <row r="74" spans="1:37" x14ac:dyDescent="0.15">
      <c r="A74" s="2" t="s">
        <v>2109</v>
      </c>
      <c r="B74">
        <v>705</v>
      </c>
      <c r="C74" s="3">
        <v>41299</v>
      </c>
      <c r="D74" s="2" t="s">
        <v>37</v>
      </c>
      <c r="E74" s="2" t="s">
        <v>2108</v>
      </c>
      <c r="F74" s="2" t="s">
        <v>38</v>
      </c>
      <c r="G74" s="2" t="s">
        <v>186</v>
      </c>
      <c r="H74" s="2" t="s">
        <v>187</v>
      </c>
      <c r="I74" s="4">
        <v>1707600</v>
      </c>
      <c r="J74" s="4">
        <v>0</v>
      </c>
      <c r="K74" s="4">
        <v>0</v>
      </c>
      <c r="L74" s="5"/>
      <c r="M74" s="5">
        <v>3</v>
      </c>
      <c r="N74" s="6">
        <v>51228</v>
      </c>
      <c r="O74" s="4">
        <v>51228</v>
      </c>
      <c r="P74" s="4">
        <v>51228</v>
      </c>
      <c r="Q74" s="6">
        <v>0</v>
      </c>
      <c r="R74" s="4">
        <v>1536840</v>
      </c>
      <c r="S74" s="4">
        <v>1536840</v>
      </c>
      <c r="T74" s="4">
        <v>1536840</v>
      </c>
      <c r="U74" s="4">
        <v>1536840</v>
      </c>
      <c r="V74" s="6">
        <v>90</v>
      </c>
      <c r="W74" s="4">
        <v>1484089.7</v>
      </c>
      <c r="X74" s="4">
        <v>1484089.7</v>
      </c>
      <c r="Y74" s="4">
        <v>1536342.7</v>
      </c>
      <c r="Z74" s="4">
        <v>1536342.7</v>
      </c>
      <c r="AA74" s="4">
        <v>3.4</v>
      </c>
      <c r="AB74" s="6">
        <v>52252.56</v>
      </c>
      <c r="AC74" s="4">
        <v>52253</v>
      </c>
      <c r="AD74" s="4">
        <v>52253</v>
      </c>
      <c r="AE74" s="6">
        <v>-0.44</v>
      </c>
      <c r="AF74" s="4">
        <v>0</v>
      </c>
      <c r="AG74" s="7">
        <v>0</v>
      </c>
      <c r="AH74" s="2" t="s">
        <v>37</v>
      </c>
      <c r="AI74">
        <v>0</v>
      </c>
      <c r="AJ74" s="3">
        <v>41912.686261574097</v>
      </c>
      <c r="AK74" s="2" t="s">
        <v>2107</v>
      </c>
    </row>
    <row r="75" spans="1:37" x14ac:dyDescent="0.15">
      <c r="A75" s="2" t="s">
        <v>2106</v>
      </c>
      <c r="B75">
        <v>690</v>
      </c>
      <c r="C75" s="3">
        <v>41299</v>
      </c>
      <c r="D75" s="2" t="s">
        <v>37</v>
      </c>
      <c r="E75" s="2" t="s">
        <v>2105</v>
      </c>
      <c r="F75" s="2" t="s">
        <v>38</v>
      </c>
      <c r="G75" s="2" t="s">
        <v>188</v>
      </c>
      <c r="H75" s="2" t="s">
        <v>189</v>
      </c>
      <c r="I75" s="4">
        <v>5903500</v>
      </c>
      <c r="J75" s="4">
        <v>0</v>
      </c>
      <c r="K75" s="4">
        <v>0</v>
      </c>
      <c r="L75" s="5"/>
      <c r="M75" s="5">
        <v>4</v>
      </c>
      <c r="N75" s="6">
        <v>236140</v>
      </c>
      <c r="O75" s="4">
        <v>236140</v>
      </c>
      <c r="P75" s="4">
        <v>236140</v>
      </c>
      <c r="Q75" s="6">
        <v>0</v>
      </c>
      <c r="R75" s="4">
        <v>5400000</v>
      </c>
      <c r="S75" s="4">
        <v>5400000</v>
      </c>
      <c r="T75" s="4">
        <v>4000000</v>
      </c>
      <c r="U75" s="4">
        <v>4000000</v>
      </c>
      <c r="V75" s="6">
        <v>67.756399999999999</v>
      </c>
      <c r="W75" s="4">
        <v>2706499.32</v>
      </c>
      <c r="X75" s="4">
        <v>2706499.32</v>
      </c>
      <c r="Y75" s="4">
        <v>3999943.58</v>
      </c>
      <c r="Z75" s="4">
        <v>3999943.58</v>
      </c>
      <c r="AA75" s="4">
        <v>3.4</v>
      </c>
      <c r="AB75" s="6">
        <v>183600</v>
      </c>
      <c r="AC75" s="4">
        <v>183600</v>
      </c>
      <c r="AD75" s="4">
        <v>183600</v>
      </c>
      <c r="AE75" s="6">
        <v>0</v>
      </c>
      <c r="AF75" s="4">
        <v>0</v>
      </c>
      <c r="AG75" s="7">
        <v>74</v>
      </c>
      <c r="AH75" s="2" t="s">
        <v>52</v>
      </c>
      <c r="AI75">
        <v>0</v>
      </c>
      <c r="AJ75" s="3">
        <v>41912.686261574097</v>
      </c>
      <c r="AK75" s="2" t="s">
        <v>2104</v>
      </c>
    </row>
    <row r="76" spans="1:37" x14ac:dyDescent="0.15">
      <c r="A76" s="2" t="s">
        <v>2103</v>
      </c>
      <c r="B76">
        <v>713</v>
      </c>
      <c r="C76" s="3">
        <v>41303</v>
      </c>
      <c r="D76" s="2" t="s">
        <v>37</v>
      </c>
      <c r="E76" s="2" t="s">
        <v>2102</v>
      </c>
      <c r="F76" s="2" t="s">
        <v>38</v>
      </c>
      <c r="G76" s="2" t="s">
        <v>190</v>
      </c>
      <c r="H76" s="2" t="s">
        <v>191</v>
      </c>
      <c r="I76" s="4">
        <v>3171737</v>
      </c>
      <c r="J76" s="4">
        <v>0</v>
      </c>
      <c r="K76" s="4">
        <v>0</v>
      </c>
      <c r="L76" s="5"/>
      <c r="M76" s="5">
        <v>4</v>
      </c>
      <c r="N76" s="6">
        <v>126869.48</v>
      </c>
      <c r="O76" s="4">
        <v>126870</v>
      </c>
      <c r="P76" s="4">
        <v>126870</v>
      </c>
      <c r="Q76" s="6">
        <v>-0.52</v>
      </c>
      <c r="R76" s="4">
        <v>3000000</v>
      </c>
      <c r="S76" s="4">
        <v>3000000</v>
      </c>
      <c r="T76" s="4">
        <v>3000000</v>
      </c>
      <c r="U76" s="4">
        <v>3000000</v>
      </c>
      <c r="V76" s="6">
        <v>94.585400000000007</v>
      </c>
      <c r="W76" s="4">
        <v>2209075.2000000002</v>
      </c>
      <c r="X76" s="4">
        <v>2209075.2000000002</v>
      </c>
      <c r="Y76" s="4">
        <v>2947212.54</v>
      </c>
      <c r="Z76" s="4">
        <v>2947212.54</v>
      </c>
      <c r="AA76" s="4">
        <v>3.4</v>
      </c>
      <c r="AB76" s="6">
        <v>102000</v>
      </c>
      <c r="AC76" s="4">
        <v>102000</v>
      </c>
      <c r="AD76" s="4">
        <v>102000</v>
      </c>
      <c r="AE76" s="6">
        <v>0</v>
      </c>
      <c r="AF76" s="4">
        <v>0</v>
      </c>
      <c r="AG76" s="7">
        <v>40</v>
      </c>
      <c r="AH76" s="2" t="s">
        <v>52</v>
      </c>
      <c r="AI76">
        <v>0</v>
      </c>
      <c r="AJ76" s="3">
        <v>41912.686261574097</v>
      </c>
      <c r="AK76" s="2" t="s">
        <v>2101</v>
      </c>
    </row>
    <row r="77" spans="1:37" x14ac:dyDescent="0.15">
      <c r="A77" s="2" t="s">
        <v>2100</v>
      </c>
      <c r="B77">
        <v>722</v>
      </c>
      <c r="C77" s="3">
        <v>41304</v>
      </c>
      <c r="D77" s="2" t="s">
        <v>37</v>
      </c>
      <c r="E77" s="2" t="s">
        <v>2099</v>
      </c>
      <c r="F77" s="2" t="s">
        <v>38</v>
      </c>
      <c r="G77" s="2" t="s">
        <v>192</v>
      </c>
      <c r="H77" s="2" t="s">
        <v>193</v>
      </c>
      <c r="I77" s="4">
        <v>3688900</v>
      </c>
      <c r="J77" s="4">
        <v>2437951.61</v>
      </c>
      <c r="K77" s="4">
        <v>2437951.61</v>
      </c>
      <c r="L77" s="5"/>
      <c r="M77" s="5">
        <v>4</v>
      </c>
      <c r="N77" s="6">
        <v>245074.0644</v>
      </c>
      <c r="O77" s="4">
        <v>245074</v>
      </c>
      <c r="P77" s="4">
        <v>245074</v>
      </c>
      <c r="Q77" s="6">
        <v>6.4399999999999999E-2</v>
      </c>
      <c r="R77" s="4">
        <v>4400000</v>
      </c>
      <c r="S77" s="4">
        <v>4400000</v>
      </c>
      <c r="T77" s="4">
        <v>4400000</v>
      </c>
      <c r="U77" s="4">
        <v>4400000</v>
      </c>
      <c r="V77" s="6">
        <v>71.814999999999998</v>
      </c>
      <c r="W77" s="4">
        <v>3910369.07</v>
      </c>
      <c r="X77" s="4">
        <v>3910369.07</v>
      </c>
      <c r="Y77" s="4">
        <v>4363087.07</v>
      </c>
      <c r="Z77" s="4">
        <v>4363087.07</v>
      </c>
      <c r="AA77" s="4">
        <v>3.4</v>
      </c>
      <c r="AB77" s="6">
        <v>149600</v>
      </c>
      <c r="AC77" s="4">
        <v>149600</v>
      </c>
      <c r="AD77" s="4">
        <v>149600</v>
      </c>
      <c r="AE77" s="6">
        <v>0</v>
      </c>
      <c r="AF77" s="4">
        <v>0</v>
      </c>
      <c r="AG77" s="7">
        <v>78</v>
      </c>
      <c r="AH77" s="2" t="s">
        <v>52</v>
      </c>
      <c r="AI77">
        <v>0</v>
      </c>
      <c r="AJ77" s="3">
        <v>41912.686261574097</v>
      </c>
      <c r="AK77" s="2" t="s">
        <v>2098</v>
      </c>
    </row>
    <row r="78" spans="1:37" x14ac:dyDescent="0.15">
      <c r="A78" s="2" t="s">
        <v>2097</v>
      </c>
      <c r="B78">
        <v>104</v>
      </c>
      <c r="C78" s="3">
        <v>41306</v>
      </c>
      <c r="D78" s="2" t="s">
        <v>37</v>
      </c>
      <c r="E78" s="2" t="s">
        <v>2096</v>
      </c>
      <c r="F78" s="2" t="s">
        <v>41</v>
      </c>
      <c r="G78" s="2" t="s">
        <v>194</v>
      </c>
      <c r="H78" s="2" t="s">
        <v>195</v>
      </c>
      <c r="I78" s="4">
        <v>24479188</v>
      </c>
      <c r="J78" s="4">
        <v>0</v>
      </c>
      <c r="K78" s="4">
        <v>0</v>
      </c>
      <c r="L78" s="5"/>
      <c r="M78" s="5">
        <v>3.5</v>
      </c>
      <c r="N78" s="6">
        <v>856771.58</v>
      </c>
      <c r="O78" s="4">
        <v>856771.58</v>
      </c>
      <c r="P78" s="4">
        <v>856771.58</v>
      </c>
      <c r="Q78" s="6">
        <v>0</v>
      </c>
      <c r="R78" s="4">
        <v>0</v>
      </c>
      <c r="S78" s="4">
        <v>0</v>
      </c>
      <c r="T78" s="4">
        <v>14834162.02</v>
      </c>
      <c r="U78" s="4">
        <v>14834162.02</v>
      </c>
      <c r="V78" s="6">
        <v>60.5991</v>
      </c>
      <c r="W78" s="4">
        <v>0</v>
      </c>
      <c r="X78" s="4">
        <v>0</v>
      </c>
      <c r="Y78" s="4">
        <v>14128142.74</v>
      </c>
      <c r="Z78" s="4">
        <v>14128142.74</v>
      </c>
      <c r="AA78" s="4">
        <v>3.7</v>
      </c>
      <c r="AB78" s="6">
        <v>905729.95600000001</v>
      </c>
      <c r="AC78" s="4">
        <v>603593.67000000004</v>
      </c>
      <c r="AD78" s="4">
        <v>603593.67000000004</v>
      </c>
      <c r="AE78" s="6">
        <v>302136.28600000002</v>
      </c>
      <c r="AF78" s="4">
        <v>0</v>
      </c>
      <c r="AG78" s="7">
        <v>0</v>
      </c>
      <c r="AH78" s="2" t="s">
        <v>37</v>
      </c>
      <c r="AI78">
        <v>0</v>
      </c>
      <c r="AJ78" s="3">
        <v>41912.6862384259</v>
      </c>
      <c r="AK78" s="2" t="s">
        <v>2095</v>
      </c>
    </row>
    <row r="79" spans="1:37" x14ac:dyDescent="0.15">
      <c r="A79" s="2" t="s">
        <v>2094</v>
      </c>
      <c r="B79">
        <v>730</v>
      </c>
      <c r="C79" s="3">
        <v>41330</v>
      </c>
      <c r="D79" s="2" t="s">
        <v>37</v>
      </c>
      <c r="E79" s="2" t="s">
        <v>2093</v>
      </c>
      <c r="F79" s="2" t="s">
        <v>38</v>
      </c>
      <c r="G79" s="2" t="s">
        <v>196</v>
      </c>
      <c r="H79" s="2" t="s">
        <v>197</v>
      </c>
      <c r="I79" s="4">
        <v>10242431.93</v>
      </c>
      <c r="J79" s="4">
        <v>0</v>
      </c>
      <c r="K79" s="4">
        <v>0</v>
      </c>
      <c r="L79" s="5"/>
      <c r="M79" s="5">
        <v>3</v>
      </c>
      <c r="N79" s="6">
        <v>307272.95789999998</v>
      </c>
      <c r="O79" s="4">
        <v>307273</v>
      </c>
      <c r="P79" s="4">
        <v>307273</v>
      </c>
      <c r="Q79" s="6">
        <v>-4.2099999999999999E-2</v>
      </c>
      <c r="R79" s="4">
        <v>5355000</v>
      </c>
      <c r="S79" s="4">
        <v>5355000</v>
      </c>
      <c r="T79" s="4">
        <v>5355000</v>
      </c>
      <c r="U79" s="4">
        <v>5355000</v>
      </c>
      <c r="V79" s="6">
        <v>52.282499999999999</v>
      </c>
      <c r="W79" s="4">
        <v>4746409.25</v>
      </c>
      <c r="X79" s="4">
        <v>4746409.25</v>
      </c>
      <c r="Y79" s="4">
        <v>5006374.95</v>
      </c>
      <c r="Z79" s="4">
        <v>5006374.95</v>
      </c>
      <c r="AA79" s="4">
        <v>3.4</v>
      </c>
      <c r="AB79" s="6">
        <v>182070</v>
      </c>
      <c r="AC79" s="4">
        <v>182070</v>
      </c>
      <c r="AD79" s="4">
        <v>182070</v>
      </c>
      <c r="AE79" s="6">
        <v>0</v>
      </c>
      <c r="AF79" s="4">
        <v>0</v>
      </c>
      <c r="AG79" s="7">
        <v>150</v>
      </c>
      <c r="AH79" s="2" t="s">
        <v>66</v>
      </c>
      <c r="AI79">
        <v>0</v>
      </c>
      <c r="AJ79" s="3">
        <v>41912.686261574097</v>
      </c>
      <c r="AK79" s="2" t="s">
        <v>2092</v>
      </c>
    </row>
    <row r="80" spans="1:37" x14ac:dyDescent="0.15">
      <c r="A80" s="2" t="s">
        <v>2091</v>
      </c>
      <c r="B80">
        <v>737</v>
      </c>
      <c r="C80" s="3">
        <v>41334</v>
      </c>
      <c r="D80" s="2" t="s">
        <v>37</v>
      </c>
      <c r="E80" s="2" t="s">
        <v>2090</v>
      </c>
      <c r="F80" s="2" t="s">
        <v>38</v>
      </c>
      <c r="G80" s="2" t="s">
        <v>198</v>
      </c>
      <c r="H80" s="2" t="s">
        <v>199</v>
      </c>
      <c r="I80" s="4">
        <v>10182154.199999999</v>
      </c>
      <c r="J80" s="4">
        <v>0</v>
      </c>
      <c r="K80" s="4">
        <v>0</v>
      </c>
      <c r="L80" s="5"/>
      <c r="M80" s="5">
        <v>3</v>
      </c>
      <c r="N80" s="6">
        <v>305464.62599999999</v>
      </c>
      <c r="O80" s="4">
        <v>305465</v>
      </c>
      <c r="P80" s="4">
        <v>305465</v>
      </c>
      <c r="Q80" s="6">
        <v>-0.374</v>
      </c>
      <c r="R80" s="4">
        <v>6658381.3200000003</v>
      </c>
      <c r="S80" s="4">
        <v>6658381.3200000003</v>
      </c>
      <c r="T80" s="4">
        <v>6658381.3200000003</v>
      </c>
      <c r="U80" s="4">
        <v>6658381.3200000003</v>
      </c>
      <c r="V80" s="6">
        <v>65.392700000000005</v>
      </c>
      <c r="W80" s="4">
        <v>5550984.4000000004</v>
      </c>
      <c r="X80" s="4">
        <v>5550984.4000000004</v>
      </c>
      <c r="Y80" s="4">
        <v>6656819.7599999998</v>
      </c>
      <c r="Z80" s="4">
        <v>6656819.7599999998</v>
      </c>
      <c r="AA80" s="4"/>
      <c r="AB80" s="6"/>
      <c r="AC80" s="4">
        <v>0</v>
      </c>
      <c r="AD80" s="4">
        <v>0</v>
      </c>
      <c r="AE80" s="6"/>
      <c r="AF80" s="4">
        <v>0</v>
      </c>
      <c r="AG80" s="7">
        <v>123</v>
      </c>
      <c r="AH80" s="2" t="s">
        <v>52</v>
      </c>
      <c r="AI80">
        <v>0</v>
      </c>
      <c r="AJ80" s="3">
        <v>41912.686261574097</v>
      </c>
      <c r="AK80" s="2" t="s">
        <v>2089</v>
      </c>
    </row>
    <row r="81" spans="1:37" x14ac:dyDescent="0.15">
      <c r="A81" s="2" t="s">
        <v>2088</v>
      </c>
      <c r="B81">
        <v>108</v>
      </c>
      <c r="C81" s="3">
        <v>41334</v>
      </c>
      <c r="D81" s="2" t="s">
        <v>37</v>
      </c>
      <c r="E81" s="2" t="s">
        <v>2087</v>
      </c>
      <c r="F81" s="2" t="s">
        <v>41</v>
      </c>
      <c r="G81" s="2" t="s">
        <v>200</v>
      </c>
      <c r="H81" s="2" t="s">
        <v>201</v>
      </c>
      <c r="I81" s="4">
        <v>735929</v>
      </c>
      <c r="J81" s="4">
        <v>0</v>
      </c>
      <c r="K81" s="4">
        <v>0</v>
      </c>
      <c r="L81" s="5"/>
      <c r="M81" s="5">
        <v>4</v>
      </c>
      <c r="N81" s="6">
        <v>29437.16</v>
      </c>
      <c r="O81" s="4">
        <v>32438</v>
      </c>
      <c r="P81" s="4">
        <v>32438</v>
      </c>
      <c r="Q81" s="6">
        <v>-3000.84</v>
      </c>
      <c r="R81" s="4">
        <v>0</v>
      </c>
      <c r="S81" s="4">
        <v>0</v>
      </c>
      <c r="T81" s="4">
        <v>369939.53</v>
      </c>
      <c r="U81" s="4">
        <v>369939.53</v>
      </c>
      <c r="V81" s="6">
        <v>50.2684</v>
      </c>
      <c r="W81" s="4">
        <v>0</v>
      </c>
      <c r="X81" s="4">
        <v>0</v>
      </c>
      <c r="Y81" s="4">
        <v>369384</v>
      </c>
      <c r="Z81" s="4">
        <v>369384</v>
      </c>
      <c r="AA81" s="4"/>
      <c r="AB81" s="6">
        <v>0</v>
      </c>
      <c r="AC81" s="4">
        <v>0</v>
      </c>
      <c r="AD81" s="4">
        <v>0</v>
      </c>
      <c r="AE81" s="6">
        <v>0</v>
      </c>
      <c r="AF81" s="4">
        <v>0</v>
      </c>
      <c r="AG81" s="7">
        <v>0</v>
      </c>
      <c r="AH81" s="2" t="s">
        <v>37</v>
      </c>
      <c r="AI81">
        <v>0</v>
      </c>
      <c r="AJ81" s="3">
        <v>41912.6862384259</v>
      </c>
      <c r="AK81" s="2" t="s">
        <v>2086</v>
      </c>
    </row>
    <row r="82" spans="1:37" x14ac:dyDescent="0.15">
      <c r="A82" s="2" t="s">
        <v>2085</v>
      </c>
      <c r="B82">
        <v>748</v>
      </c>
      <c r="C82" s="3">
        <v>41361</v>
      </c>
      <c r="D82" s="2" t="s">
        <v>37</v>
      </c>
      <c r="E82" s="2" t="s">
        <v>2084</v>
      </c>
      <c r="F82" s="2" t="s">
        <v>38</v>
      </c>
      <c r="G82" s="2" t="s">
        <v>202</v>
      </c>
      <c r="H82" s="2" t="s">
        <v>203</v>
      </c>
      <c r="I82" s="4">
        <v>1995000</v>
      </c>
      <c r="J82" s="4">
        <v>0</v>
      </c>
      <c r="K82" s="4">
        <v>0</v>
      </c>
      <c r="L82" s="5"/>
      <c r="M82" s="5">
        <v>3.6</v>
      </c>
      <c r="N82" s="6">
        <v>71820</v>
      </c>
      <c r="O82" s="4">
        <v>0</v>
      </c>
      <c r="P82" s="4">
        <v>0</v>
      </c>
      <c r="Q82" s="6">
        <v>71820</v>
      </c>
      <c r="R82" s="4">
        <v>0</v>
      </c>
      <c r="S82" s="4">
        <v>0</v>
      </c>
      <c r="T82" s="4">
        <v>0</v>
      </c>
      <c r="U82" s="4">
        <v>0</v>
      </c>
      <c r="V82" s="6">
        <v>0</v>
      </c>
      <c r="W82" s="4">
        <v>0</v>
      </c>
      <c r="X82" s="4">
        <v>0</v>
      </c>
      <c r="Y82" s="4">
        <v>0</v>
      </c>
      <c r="Z82" s="4">
        <v>0</v>
      </c>
      <c r="AA82" s="4">
        <v>3.4</v>
      </c>
      <c r="AB82" s="6">
        <v>0</v>
      </c>
      <c r="AC82" s="4">
        <v>0</v>
      </c>
      <c r="AD82" s="4">
        <v>0</v>
      </c>
      <c r="AE82" s="6">
        <v>0</v>
      </c>
      <c r="AF82" s="4">
        <v>0</v>
      </c>
      <c r="AG82" s="7">
        <v>26</v>
      </c>
      <c r="AH82" s="2" t="s">
        <v>66</v>
      </c>
      <c r="AI82">
        <v>0</v>
      </c>
      <c r="AJ82" s="3">
        <v>41912.686261574097</v>
      </c>
      <c r="AK82" s="2" t="s">
        <v>2083</v>
      </c>
    </row>
    <row r="83" spans="1:37" x14ac:dyDescent="0.15">
      <c r="A83" s="2" t="s">
        <v>2082</v>
      </c>
      <c r="B83">
        <v>756</v>
      </c>
      <c r="C83" s="3">
        <v>41361</v>
      </c>
      <c r="D83" s="2" t="s">
        <v>37</v>
      </c>
      <c r="E83" s="2" t="s">
        <v>2081</v>
      </c>
      <c r="F83" s="2" t="s">
        <v>38</v>
      </c>
      <c r="G83" s="2" t="s">
        <v>204</v>
      </c>
      <c r="H83" s="2" t="s">
        <v>205</v>
      </c>
      <c r="I83" s="4">
        <v>9000000</v>
      </c>
      <c r="J83" s="4">
        <v>0</v>
      </c>
      <c r="K83" s="4">
        <v>0</v>
      </c>
      <c r="L83" s="5"/>
      <c r="M83" s="5">
        <v>3</v>
      </c>
      <c r="N83" s="6">
        <v>270000</v>
      </c>
      <c r="O83" s="4">
        <v>210000</v>
      </c>
      <c r="P83" s="4">
        <v>210000</v>
      </c>
      <c r="Q83" s="6">
        <v>60000</v>
      </c>
      <c r="R83" s="4">
        <v>9000000</v>
      </c>
      <c r="S83" s="4">
        <v>9000000</v>
      </c>
      <c r="T83" s="4">
        <v>4800000</v>
      </c>
      <c r="U83" s="4">
        <v>4800000</v>
      </c>
      <c r="V83" s="6">
        <v>53.333300000000001</v>
      </c>
      <c r="W83" s="4">
        <v>2571030.19</v>
      </c>
      <c r="X83" s="4">
        <v>2571030.19</v>
      </c>
      <c r="Y83" s="4">
        <v>4800000</v>
      </c>
      <c r="Z83" s="4">
        <v>4800000</v>
      </c>
      <c r="AA83" s="4">
        <v>3.4</v>
      </c>
      <c r="AB83" s="6">
        <v>306000</v>
      </c>
      <c r="AC83" s="4">
        <v>306000</v>
      </c>
      <c r="AD83" s="4">
        <v>306000</v>
      </c>
      <c r="AE83" s="6">
        <v>0</v>
      </c>
      <c r="AF83" s="4">
        <v>0</v>
      </c>
      <c r="AG83" s="7">
        <v>10</v>
      </c>
      <c r="AH83" s="2" t="s">
        <v>66</v>
      </c>
      <c r="AI83">
        <v>0</v>
      </c>
      <c r="AJ83" s="3">
        <v>41912.686261574097</v>
      </c>
      <c r="AK83" s="2" t="s">
        <v>2080</v>
      </c>
    </row>
    <row r="84" spans="1:37" x14ac:dyDescent="0.15">
      <c r="A84" s="2" t="s">
        <v>2079</v>
      </c>
      <c r="B84">
        <v>746</v>
      </c>
      <c r="C84" s="3">
        <v>41361</v>
      </c>
      <c r="D84" s="2" t="s">
        <v>37</v>
      </c>
      <c r="E84" s="2" t="s">
        <v>2078</v>
      </c>
      <c r="F84" s="2" t="s">
        <v>38</v>
      </c>
      <c r="G84" s="2" t="s">
        <v>206</v>
      </c>
      <c r="H84" s="2" t="s">
        <v>207</v>
      </c>
      <c r="I84" s="4">
        <v>35281540.549999997</v>
      </c>
      <c r="J84" s="4">
        <v>1087789.19</v>
      </c>
      <c r="K84" s="4">
        <v>1087789.19</v>
      </c>
      <c r="L84" s="5"/>
      <c r="M84" s="5">
        <v>3</v>
      </c>
      <c r="N84" s="6">
        <v>1091079.8921999999</v>
      </c>
      <c r="O84" s="4">
        <v>1064887</v>
      </c>
      <c r="P84" s="4">
        <v>1064887</v>
      </c>
      <c r="Q84" s="6">
        <v>26192.892199999998</v>
      </c>
      <c r="R84" s="4">
        <v>25050105</v>
      </c>
      <c r="S84" s="4">
        <v>25050105</v>
      </c>
      <c r="T84" s="4">
        <v>25050105</v>
      </c>
      <c r="U84" s="4">
        <v>25050105</v>
      </c>
      <c r="V84" s="6">
        <v>68.876999999999995</v>
      </c>
      <c r="W84" s="4">
        <v>23540714.640000001</v>
      </c>
      <c r="X84" s="4">
        <v>23540714.640000001</v>
      </c>
      <c r="Y84" s="4">
        <v>25042419.640000001</v>
      </c>
      <c r="Z84" s="4">
        <v>25042419.640000001</v>
      </c>
      <c r="AA84" s="4">
        <v>3.4</v>
      </c>
      <c r="AB84" s="6">
        <v>851703.57</v>
      </c>
      <c r="AC84" s="4">
        <v>851705</v>
      </c>
      <c r="AD84" s="4">
        <v>851705</v>
      </c>
      <c r="AE84" s="6">
        <v>-1.43</v>
      </c>
      <c r="AF84" s="4">
        <v>0</v>
      </c>
      <c r="AG84" s="7">
        <v>180</v>
      </c>
      <c r="AH84" s="2" t="s">
        <v>66</v>
      </c>
      <c r="AI84">
        <v>0</v>
      </c>
      <c r="AJ84" s="3">
        <v>41912.686261574097</v>
      </c>
      <c r="AK84" s="2" t="s">
        <v>2077</v>
      </c>
    </row>
    <row r="85" spans="1:37" x14ac:dyDescent="0.15">
      <c r="A85" s="2" t="s">
        <v>2076</v>
      </c>
      <c r="B85">
        <v>113</v>
      </c>
      <c r="C85" s="3">
        <v>41365</v>
      </c>
      <c r="D85" s="2" t="s">
        <v>37</v>
      </c>
      <c r="E85" s="2" t="s">
        <v>2075</v>
      </c>
      <c r="F85" s="2" t="s">
        <v>41</v>
      </c>
      <c r="G85" s="2" t="s">
        <v>210</v>
      </c>
      <c r="H85" s="2" t="s">
        <v>211</v>
      </c>
      <c r="I85" s="4">
        <v>7457847.71</v>
      </c>
      <c r="J85" s="4">
        <v>0</v>
      </c>
      <c r="K85" s="4">
        <v>0</v>
      </c>
      <c r="L85" s="5"/>
      <c r="M85" s="5">
        <v>4</v>
      </c>
      <c r="N85" s="6">
        <v>298313.90840000001</v>
      </c>
      <c r="O85" s="4">
        <v>298314</v>
      </c>
      <c r="P85" s="4">
        <v>298314</v>
      </c>
      <c r="Q85" s="6">
        <v>-9.1600000000000001E-2</v>
      </c>
      <c r="R85" s="4">
        <v>0</v>
      </c>
      <c r="S85" s="4">
        <v>0</v>
      </c>
      <c r="T85" s="4">
        <v>6847606.6600000001</v>
      </c>
      <c r="U85" s="4">
        <v>6847606.6600000001</v>
      </c>
      <c r="V85" s="6">
        <v>91.817499999999995</v>
      </c>
      <c r="W85" s="4">
        <v>0</v>
      </c>
      <c r="X85" s="4">
        <v>0</v>
      </c>
      <c r="Y85" s="4">
        <v>6685410.4400000004</v>
      </c>
      <c r="Z85" s="4">
        <v>6685410.4400000004</v>
      </c>
      <c r="AA85" s="4">
        <v>3.4</v>
      </c>
      <c r="AB85" s="6">
        <v>253566.82209999999</v>
      </c>
      <c r="AC85" s="4">
        <v>140035.07</v>
      </c>
      <c r="AD85" s="4">
        <v>140035.07</v>
      </c>
      <c r="AE85" s="6">
        <v>113531.7521</v>
      </c>
      <c r="AF85" s="4">
        <v>0</v>
      </c>
      <c r="AG85" s="7">
        <v>0</v>
      </c>
      <c r="AH85" s="2" t="s">
        <v>37</v>
      </c>
      <c r="AI85">
        <v>0</v>
      </c>
      <c r="AJ85" s="3">
        <v>41912.6862384259</v>
      </c>
      <c r="AK85" s="2" t="s">
        <v>2074</v>
      </c>
    </row>
    <row r="86" spans="1:37" x14ac:dyDescent="0.15">
      <c r="A86" s="2" t="s">
        <v>2073</v>
      </c>
      <c r="B86">
        <v>771</v>
      </c>
      <c r="C86" s="3">
        <v>41365</v>
      </c>
      <c r="D86" s="2" t="s">
        <v>37</v>
      </c>
      <c r="E86" s="2" t="s">
        <v>2072</v>
      </c>
      <c r="F86" s="2" t="s">
        <v>38</v>
      </c>
      <c r="G86" s="2" t="s">
        <v>208</v>
      </c>
      <c r="H86" s="2" t="s">
        <v>209</v>
      </c>
      <c r="I86" s="4">
        <v>12491680</v>
      </c>
      <c r="J86" s="4">
        <v>0</v>
      </c>
      <c r="K86" s="4">
        <v>0</v>
      </c>
      <c r="L86" s="5"/>
      <c r="M86" s="5">
        <v>3</v>
      </c>
      <c r="N86" s="6">
        <v>374750.4</v>
      </c>
      <c r="O86" s="4">
        <v>374750</v>
      </c>
      <c r="P86" s="4">
        <v>374750</v>
      </c>
      <c r="Q86" s="6">
        <v>0.4</v>
      </c>
      <c r="R86" s="4">
        <v>11200000</v>
      </c>
      <c r="S86" s="4">
        <v>11200000</v>
      </c>
      <c r="T86" s="4">
        <v>11200000</v>
      </c>
      <c r="U86" s="4">
        <v>11200000</v>
      </c>
      <c r="V86" s="6">
        <v>89.659700000000001</v>
      </c>
      <c r="W86" s="4">
        <v>10579700.51</v>
      </c>
      <c r="X86" s="4">
        <v>10579700.51</v>
      </c>
      <c r="Y86" s="4">
        <v>11184000.51</v>
      </c>
      <c r="Z86" s="4">
        <v>11184000.51</v>
      </c>
      <c r="AA86" s="4">
        <v>3.4</v>
      </c>
      <c r="AB86" s="6">
        <v>380800</v>
      </c>
      <c r="AC86" s="4">
        <v>380800</v>
      </c>
      <c r="AD86" s="4">
        <v>380800</v>
      </c>
      <c r="AE86" s="6">
        <v>0</v>
      </c>
      <c r="AF86" s="4">
        <v>0</v>
      </c>
      <c r="AG86" s="7">
        <v>145</v>
      </c>
      <c r="AH86" s="2" t="s">
        <v>97</v>
      </c>
      <c r="AI86">
        <v>0</v>
      </c>
      <c r="AJ86" s="3">
        <v>41912.686273148101</v>
      </c>
      <c r="AK86" s="2" t="s">
        <v>2071</v>
      </c>
    </row>
    <row r="87" spans="1:37" x14ac:dyDescent="0.15">
      <c r="A87" s="2" t="s">
        <v>2070</v>
      </c>
      <c r="B87">
        <v>780</v>
      </c>
      <c r="C87" s="3">
        <v>41365</v>
      </c>
      <c r="D87" s="2" t="s">
        <v>37</v>
      </c>
      <c r="E87" s="2" t="s">
        <v>2069</v>
      </c>
      <c r="F87" s="2" t="s">
        <v>38</v>
      </c>
      <c r="G87" s="2" t="s">
        <v>212</v>
      </c>
      <c r="H87" s="2" t="s">
        <v>213</v>
      </c>
      <c r="I87" s="4">
        <v>1195559</v>
      </c>
      <c r="J87" s="4">
        <v>934441</v>
      </c>
      <c r="K87" s="4">
        <v>934441</v>
      </c>
      <c r="L87" s="5"/>
      <c r="M87" s="5">
        <v>3.6</v>
      </c>
      <c r="N87" s="6">
        <v>76680</v>
      </c>
      <c r="O87" s="4">
        <v>76680</v>
      </c>
      <c r="P87" s="4">
        <v>76680</v>
      </c>
      <c r="Q87" s="6">
        <v>0</v>
      </c>
      <c r="R87" s="4">
        <v>2130000</v>
      </c>
      <c r="S87" s="4">
        <v>2130000</v>
      </c>
      <c r="T87" s="4">
        <v>2023500</v>
      </c>
      <c r="U87" s="4">
        <v>2023500</v>
      </c>
      <c r="V87" s="6">
        <v>95</v>
      </c>
      <c r="W87" s="4">
        <v>1200000</v>
      </c>
      <c r="X87" s="4">
        <v>1200000</v>
      </c>
      <c r="Y87" s="4">
        <v>1971374.8</v>
      </c>
      <c r="Z87" s="4">
        <v>1971374.8</v>
      </c>
      <c r="AA87" s="4">
        <v>3.4</v>
      </c>
      <c r="AB87" s="6">
        <v>72420</v>
      </c>
      <c r="AC87" s="4">
        <v>72420</v>
      </c>
      <c r="AD87" s="4">
        <v>72420</v>
      </c>
      <c r="AE87" s="6">
        <v>0</v>
      </c>
      <c r="AF87" s="4">
        <v>0</v>
      </c>
      <c r="AG87" s="7">
        <v>16</v>
      </c>
      <c r="AH87" s="2" t="s">
        <v>52</v>
      </c>
      <c r="AI87">
        <v>0</v>
      </c>
      <c r="AJ87" s="3">
        <v>41912.686273148101</v>
      </c>
      <c r="AK87" s="2" t="s">
        <v>2068</v>
      </c>
    </row>
    <row r="88" spans="1:37" x14ac:dyDescent="0.15">
      <c r="A88" s="2" t="s">
        <v>2067</v>
      </c>
      <c r="B88">
        <v>763</v>
      </c>
      <c r="C88" s="3">
        <v>41377</v>
      </c>
      <c r="D88" s="2" t="s">
        <v>37</v>
      </c>
      <c r="E88" s="2" t="s">
        <v>2066</v>
      </c>
      <c r="F88" s="2" t="s">
        <v>38</v>
      </c>
      <c r="G88" s="2" t="s">
        <v>214</v>
      </c>
      <c r="H88" s="2" t="s">
        <v>215</v>
      </c>
      <c r="I88" s="4">
        <v>2600000</v>
      </c>
      <c r="J88" s="4">
        <v>0</v>
      </c>
      <c r="K88" s="4">
        <v>0</v>
      </c>
      <c r="L88" s="5"/>
      <c r="M88" s="5">
        <v>3.6</v>
      </c>
      <c r="N88" s="6">
        <v>93600</v>
      </c>
      <c r="O88" s="4">
        <v>93600</v>
      </c>
      <c r="P88" s="4">
        <v>93600</v>
      </c>
      <c r="Q88" s="6">
        <v>0</v>
      </c>
      <c r="R88" s="4">
        <v>2894471</v>
      </c>
      <c r="S88" s="4">
        <v>2894471</v>
      </c>
      <c r="T88" s="4">
        <v>2894471</v>
      </c>
      <c r="U88" s="4">
        <v>2894471</v>
      </c>
      <c r="V88" s="6">
        <v>111.3258</v>
      </c>
      <c r="W88" s="4">
        <v>2705613.68</v>
      </c>
      <c r="X88" s="4">
        <v>2705613.68</v>
      </c>
      <c r="Y88" s="4">
        <v>2804025.68</v>
      </c>
      <c r="Z88" s="4">
        <v>2804025.68</v>
      </c>
      <c r="AA88" s="4">
        <v>3.4</v>
      </c>
      <c r="AB88" s="6">
        <v>98412.013999999996</v>
      </c>
      <c r="AC88" s="4">
        <v>98412</v>
      </c>
      <c r="AD88" s="4">
        <v>98412</v>
      </c>
      <c r="AE88" s="6">
        <v>1.4E-2</v>
      </c>
      <c r="AF88" s="4">
        <v>0</v>
      </c>
      <c r="AG88" s="7">
        <v>0</v>
      </c>
      <c r="AH88" s="2" t="s">
        <v>37</v>
      </c>
      <c r="AI88">
        <v>0</v>
      </c>
      <c r="AJ88" s="3">
        <v>41912.686273148101</v>
      </c>
      <c r="AK88" s="2" t="s">
        <v>2065</v>
      </c>
    </row>
    <row r="89" spans="1:37" x14ac:dyDescent="0.15">
      <c r="A89" s="2" t="s">
        <v>2064</v>
      </c>
      <c r="B89">
        <v>794</v>
      </c>
      <c r="C89" s="3">
        <v>41395</v>
      </c>
      <c r="D89" s="2" t="s">
        <v>37</v>
      </c>
      <c r="E89" s="2" t="s">
        <v>2063</v>
      </c>
      <c r="F89" s="2" t="s">
        <v>38</v>
      </c>
      <c r="G89" s="2" t="s">
        <v>218</v>
      </c>
      <c r="H89" s="2" t="s">
        <v>219</v>
      </c>
      <c r="I89" s="4">
        <v>2894611</v>
      </c>
      <c r="J89" s="4">
        <v>0</v>
      </c>
      <c r="K89" s="4">
        <v>0</v>
      </c>
      <c r="L89" s="5"/>
      <c r="M89" s="5">
        <v>3.6</v>
      </c>
      <c r="N89" s="6">
        <v>104205.996</v>
      </c>
      <c r="O89" s="4">
        <v>104206</v>
      </c>
      <c r="P89" s="4">
        <v>104206</v>
      </c>
      <c r="Q89" s="6">
        <v>-4.0000000000000001E-3</v>
      </c>
      <c r="R89" s="4">
        <v>1528383.3</v>
      </c>
      <c r="S89" s="4">
        <v>1528383.3</v>
      </c>
      <c r="T89" s="4">
        <v>1528383.3</v>
      </c>
      <c r="U89" s="4">
        <v>1528383.3</v>
      </c>
      <c r="V89" s="6">
        <v>52.801000000000002</v>
      </c>
      <c r="W89" s="4">
        <v>1476000</v>
      </c>
      <c r="X89" s="4">
        <v>1476000</v>
      </c>
      <c r="Y89" s="4">
        <v>1527965</v>
      </c>
      <c r="Z89" s="4">
        <v>1527965</v>
      </c>
      <c r="AA89" s="4">
        <v>3.4</v>
      </c>
      <c r="AB89" s="6">
        <v>51965.032200000001</v>
      </c>
      <c r="AC89" s="4">
        <v>51965</v>
      </c>
      <c r="AD89" s="4">
        <v>51965</v>
      </c>
      <c r="AE89" s="6">
        <v>3.2199999999999999E-2</v>
      </c>
      <c r="AF89" s="4">
        <v>0</v>
      </c>
      <c r="AG89" s="7">
        <v>0</v>
      </c>
      <c r="AH89" s="2" t="s">
        <v>37</v>
      </c>
      <c r="AI89">
        <v>0</v>
      </c>
      <c r="AJ89" s="3">
        <v>41912.686273148101</v>
      </c>
      <c r="AK89" s="2" t="s">
        <v>2062</v>
      </c>
    </row>
    <row r="90" spans="1:37" x14ac:dyDescent="0.15">
      <c r="A90" s="2" t="s">
        <v>2061</v>
      </c>
      <c r="B90">
        <v>118</v>
      </c>
      <c r="C90" s="3">
        <v>41395</v>
      </c>
      <c r="D90" s="2" t="s">
        <v>37</v>
      </c>
      <c r="E90" s="2" t="s">
        <v>2060</v>
      </c>
      <c r="F90" s="2" t="s">
        <v>41</v>
      </c>
      <c r="G90" s="2" t="s">
        <v>223</v>
      </c>
      <c r="H90" s="2" t="s">
        <v>224</v>
      </c>
      <c r="I90" s="4">
        <v>4596832.51</v>
      </c>
      <c r="J90" s="4">
        <v>0</v>
      </c>
      <c r="K90" s="4">
        <v>0</v>
      </c>
      <c r="L90" s="5"/>
      <c r="M90" s="5">
        <v>4</v>
      </c>
      <c r="N90" s="6">
        <v>183873.30040000001</v>
      </c>
      <c r="O90" s="4">
        <v>183873.89</v>
      </c>
      <c r="P90" s="4">
        <v>183873.89</v>
      </c>
      <c r="Q90" s="6">
        <v>-0.58960000000000001</v>
      </c>
      <c r="R90" s="4">
        <v>0</v>
      </c>
      <c r="S90" s="4">
        <v>0</v>
      </c>
      <c r="T90" s="4">
        <v>3403065.97</v>
      </c>
      <c r="U90" s="4">
        <v>3403065.97</v>
      </c>
      <c r="V90" s="6">
        <v>74.030699999999996</v>
      </c>
      <c r="W90" s="4">
        <v>0</v>
      </c>
      <c r="X90" s="4">
        <v>0</v>
      </c>
      <c r="Y90" s="4">
        <v>3112799.8</v>
      </c>
      <c r="Z90" s="4">
        <v>3112799.8</v>
      </c>
      <c r="AA90" s="4"/>
      <c r="AB90" s="6">
        <v>137474.67000000001</v>
      </c>
      <c r="AC90" s="4">
        <v>137474.67000000001</v>
      </c>
      <c r="AD90" s="4">
        <v>137474.67000000001</v>
      </c>
      <c r="AE90" s="6">
        <v>0</v>
      </c>
      <c r="AF90" s="4">
        <v>0</v>
      </c>
      <c r="AG90" s="7">
        <v>0</v>
      </c>
      <c r="AH90" s="2" t="s">
        <v>37</v>
      </c>
      <c r="AI90">
        <v>0</v>
      </c>
      <c r="AJ90" s="3">
        <v>41912.6862384259</v>
      </c>
      <c r="AK90" s="2" t="s">
        <v>2059</v>
      </c>
    </row>
    <row r="91" spans="1:37" x14ac:dyDescent="0.15">
      <c r="A91" s="2" t="s">
        <v>2058</v>
      </c>
      <c r="B91">
        <v>802</v>
      </c>
      <c r="C91" s="3">
        <v>41395</v>
      </c>
      <c r="D91" s="2" t="s">
        <v>37</v>
      </c>
      <c r="E91" s="2" t="s">
        <v>2057</v>
      </c>
      <c r="F91" s="2" t="s">
        <v>38</v>
      </c>
      <c r="G91" s="2" t="s">
        <v>220</v>
      </c>
      <c r="H91" s="2" t="s">
        <v>221</v>
      </c>
      <c r="I91" s="4">
        <v>1691837.01</v>
      </c>
      <c r="J91" s="4">
        <v>0</v>
      </c>
      <c r="K91" s="4">
        <v>0</v>
      </c>
      <c r="L91" s="5"/>
      <c r="M91" s="5">
        <v>3.6</v>
      </c>
      <c r="N91" s="6">
        <v>60906.132400000002</v>
      </c>
      <c r="O91" s="4">
        <v>60906</v>
      </c>
      <c r="P91" s="4">
        <v>60906</v>
      </c>
      <c r="Q91" s="6">
        <v>0.13239999999999999</v>
      </c>
      <c r="R91" s="4">
        <v>1892244</v>
      </c>
      <c r="S91" s="4">
        <v>1892244</v>
      </c>
      <c r="T91" s="4">
        <v>1892244</v>
      </c>
      <c r="U91" s="4">
        <v>1892244</v>
      </c>
      <c r="V91" s="6">
        <v>111.8455</v>
      </c>
      <c r="W91" s="4">
        <v>1729640</v>
      </c>
      <c r="X91" s="4">
        <v>1729640</v>
      </c>
      <c r="Y91" s="4">
        <v>1796006</v>
      </c>
      <c r="Z91" s="4">
        <v>1796006</v>
      </c>
      <c r="AA91" s="4">
        <v>3.4</v>
      </c>
      <c r="AB91" s="6">
        <v>64336.296000000002</v>
      </c>
      <c r="AC91" s="4">
        <v>64336</v>
      </c>
      <c r="AD91" s="4">
        <v>64336</v>
      </c>
      <c r="AE91" s="6">
        <v>0.29599999999999999</v>
      </c>
      <c r="AF91" s="4">
        <v>0</v>
      </c>
      <c r="AG91" s="7">
        <v>15</v>
      </c>
      <c r="AH91" s="2" t="s">
        <v>222</v>
      </c>
      <c r="AI91">
        <v>0</v>
      </c>
      <c r="AJ91" s="3">
        <v>41912.686273148101</v>
      </c>
      <c r="AK91" s="2" t="s">
        <v>2056</v>
      </c>
    </row>
    <row r="92" spans="1:37" x14ac:dyDescent="0.15">
      <c r="A92" s="2" t="s">
        <v>2055</v>
      </c>
      <c r="B92">
        <v>120</v>
      </c>
      <c r="C92" s="3">
        <v>41395</v>
      </c>
      <c r="D92" s="2" t="s">
        <v>37</v>
      </c>
      <c r="E92" s="2" t="s">
        <v>2054</v>
      </c>
      <c r="F92" s="2" t="s">
        <v>41</v>
      </c>
      <c r="G92" s="2" t="s">
        <v>216</v>
      </c>
      <c r="H92" s="2" t="s">
        <v>217</v>
      </c>
      <c r="I92" s="4">
        <v>573502.84</v>
      </c>
      <c r="J92" s="4">
        <v>0</v>
      </c>
      <c r="K92" s="4">
        <v>0</v>
      </c>
      <c r="L92" s="5"/>
      <c r="M92" s="5">
        <v>4</v>
      </c>
      <c r="N92" s="6">
        <v>22940.113600000001</v>
      </c>
      <c r="O92" s="4">
        <v>22940.11</v>
      </c>
      <c r="P92" s="4">
        <v>22940.11</v>
      </c>
      <c r="Q92" s="6">
        <v>3.5999999999999999E-3</v>
      </c>
      <c r="R92" s="4">
        <v>0</v>
      </c>
      <c r="S92" s="4">
        <v>0</v>
      </c>
      <c r="T92" s="4">
        <v>0</v>
      </c>
      <c r="U92" s="4">
        <v>0</v>
      </c>
      <c r="V92" s="6">
        <v>0</v>
      </c>
      <c r="W92" s="4">
        <v>0</v>
      </c>
      <c r="X92" s="4">
        <v>0</v>
      </c>
      <c r="Y92" s="4">
        <v>0</v>
      </c>
      <c r="Z92" s="4">
        <v>0</v>
      </c>
      <c r="AA92" s="4"/>
      <c r="AB92" s="6">
        <v>0</v>
      </c>
      <c r="AC92" s="4">
        <v>0</v>
      </c>
      <c r="AD92" s="4">
        <v>0</v>
      </c>
      <c r="AE92" s="6">
        <v>0</v>
      </c>
      <c r="AF92" s="4">
        <v>0</v>
      </c>
      <c r="AG92" s="7">
        <v>0</v>
      </c>
      <c r="AH92" s="2" t="s">
        <v>37</v>
      </c>
      <c r="AI92">
        <v>0</v>
      </c>
      <c r="AJ92" s="3">
        <v>41912.6862384259</v>
      </c>
      <c r="AK92" s="2" t="s">
        <v>2053</v>
      </c>
    </row>
    <row r="93" spans="1:37" x14ac:dyDescent="0.15">
      <c r="A93" s="2" t="s">
        <v>2052</v>
      </c>
      <c r="B93">
        <v>787</v>
      </c>
      <c r="C93" s="3">
        <v>41396</v>
      </c>
      <c r="D93" s="2" t="s">
        <v>37</v>
      </c>
      <c r="E93" s="2" t="s">
        <v>2051</v>
      </c>
      <c r="F93" s="2" t="s">
        <v>38</v>
      </c>
      <c r="G93" s="2" t="s">
        <v>225</v>
      </c>
      <c r="H93" s="2" t="s">
        <v>226</v>
      </c>
      <c r="I93" s="4">
        <v>1258749</v>
      </c>
      <c r="J93" s="4">
        <v>0</v>
      </c>
      <c r="K93" s="4">
        <v>0</v>
      </c>
      <c r="L93" s="5"/>
      <c r="M93" s="5">
        <v>3.6</v>
      </c>
      <c r="N93" s="6">
        <v>45314.964</v>
      </c>
      <c r="O93" s="4">
        <v>45315</v>
      </c>
      <c r="P93" s="4">
        <v>45315</v>
      </c>
      <c r="Q93" s="6">
        <v>-3.5999999999999997E-2</v>
      </c>
      <c r="R93" s="4">
        <v>1052000</v>
      </c>
      <c r="S93" s="4">
        <v>1052000</v>
      </c>
      <c r="T93" s="4">
        <v>1052000</v>
      </c>
      <c r="U93" s="4">
        <v>1052000</v>
      </c>
      <c r="V93" s="6">
        <v>83.575000000000003</v>
      </c>
      <c r="W93" s="4">
        <v>1009286</v>
      </c>
      <c r="X93" s="4">
        <v>1009286</v>
      </c>
      <c r="Y93" s="4">
        <v>1045054</v>
      </c>
      <c r="Z93" s="4">
        <v>1045054</v>
      </c>
      <c r="AA93" s="4">
        <v>3.4</v>
      </c>
      <c r="AB93" s="6">
        <v>35768</v>
      </c>
      <c r="AC93" s="4">
        <v>35768</v>
      </c>
      <c r="AD93" s="4">
        <v>35768</v>
      </c>
      <c r="AE93" s="6">
        <v>0</v>
      </c>
      <c r="AF93" s="4">
        <v>0</v>
      </c>
      <c r="AG93" s="7">
        <v>0</v>
      </c>
      <c r="AH93" s="2" t="s">
        <v>37</v>
      </c>
      <c r="AI93">
        <v>0</v>
      </c>
      <c r="AJ93" s="3">
        <v>41912.686273148101</v>
      </c>
      <c r="AK93" s="2" t="s">
        <v>2050</v>
      </c>
    </row>
    <row r="94" spans="1:37" x14ac:dyDescent="0.15">
      <c r="A94" s="2" t="s">
        <v>2049</v>
      </c>
      <c r="B94">
        <v>810</v>
      </c>
      <c r="C94" s="3">
        <v>41412</v>
      </c>
      <c r="D94" s="2" t="s">
        <v>37</v>
      </c>
      <c r="E94" s="2" t="s">
        <v>2048</v>
      </c>
      <c r="F94" s="2" t="s">
        <v>38</v>
      </c>
      <c r="G94" s="2" t="s">
        <v>227</v>
      </c>
      <c r="H94" s="2" t="s">
        <v>228</v>
      </c>
      <c r="I94" s="4">
        <v>6498959</v>
      </c>
      <c r="J94" s="4">
        <v>0</v>
      </c>
      <c r="K94" s="4">
        <v>0</v>
      </c>
      <c r="L94" s="5"/>
      <c r="M94" s="5">
        <v>3</v>
      </c>
      <c r="N94" s="6">
        <v>194968.77</v>
      </c>
      <c r="O94" s="4">
        <v>194969</v>
      </c>
      <c r="P94" s="4">
        <v>194969</v>
      </c>
      <c r="Q94" s="6">
        <v>-0.23</v>
      </c>
      <c r="R94" s="4">
        <v>5165199.2</v>
      </c>
      <c r="S94" s="4">
        <v>5165199.2</v>
      </c>
      <c r="T94" s="4">
        <v>4941545.5</v>
      </c>
      <c r="U94" s="4">
        <v>4941545.5</v>
      </c>
      <c r="V94" s="6">
        <v>76.036000000000001</v>
      </c>
      <c r="W94" s="4">
        <v>4612419.2</v>
      </c>
      <c r="X94" s="4">
        <v>4612419.2</v>
      </c>
      <c r="Y94" s="4">
        <v>4934017.45</v>
      </c>
      <c r="Z94" s="4">
        <v>4934017.45</v>
      </c>
      <c r="AA94" s="4">
        <v>3.74</v>
      </c>
      <c r="AB94" s="6">
        <v>193178.45009999999</v>
      </c>
      <c r="AC94" s="4">
        <v>193178.45</v>
      </c>
      <c r="AD94" s="4">
        <v>193178.45</v>
      </c>
      <c r="AE94" s="6">
        <v>1E-4</v>
      </c>
      <c r="AF94" s="4">
        <v>0</v>
      </c>
      <c r="AG94" s="7">
        <v>80</v>
      </c>
      <c r="AH94" s="2" t="s">
        <v>66</v>
      </c>
      <c r="AI94">
        <v>0</v>
      </c>
      <c r="AJ94" s="3">
        <v>41912.686273148101</v>
      </c>
      <c r="AK94" s="2" t="s">
        <v>2047</v>
      </c>
    </row>
    <row r="95" spans="1:37" x14ac:dyDescent="0.15">
      <c r="A95" s="2" t="s">
        <v>2046</v>
      </c>
      <c r="B95">
        <v>818</v>
      </c>
      <c r="C95" s="3">
        <v>41417</v>
      </c>
      <c r="D95" s="2" t="s">
        <v>37</v>
      </c>
      <c r="E95" s="2" t="s">
        <v>2045</v>
      </c>
      <c r="F95" s="2" t="s">
        <v>38</v>
      </c>
      <c r="G95" s="2" t="s">
        <v>229</v>
      </c>
      <c r="H95" s="2" t="s">
        <v>230</v>
      </c>
      <c r="I95" s="4">
        <v>6000000</v>
      </c>
      <c r="J95" s="4">
        <v>2023835.04</v>
      </c>
      <c r="K95" s="4">
        <v>2023835.04</v>
      </c>
      <c r="L95" s="5"/>
      <c r="M95" s="5">
        <v>3</v>
      </c>
      <c r="N95" s="6">
        <v>240715.05119999999</v>
      </c>
      <c r="O95" s="4">
        <v>240715</v>
      </c>
      <c r="P95" s="4">
        <v>240715</v>
      </c>
      <c r="Q95" s="6">
        <v>5.1200000000000002E-2</v>
      </c>
      <c r="R95" s="4">
        <v>8023835.04</v>
      </c>
      <c r="S95" s="4">
        <v>8023835.04</v>
      </c>
      <c r="T95" s="4">
        <v>8023835.04</v>
      </c>
      <c r="U95" s="4">
        <v>8023835.04</v>
      </c>
      <c r="V95" s="6">
        <v>100</v>
      </c>
      <c r="W95" s="4">
        <v>7479804.75</v>
      </c>
      <c r="X95" s="4">
        <v>7479804.75</v>
      </c>
      <c r="Y95" s="4">
        <v>7749964.75</v>
      </c>
      <c r="Z95" s="4">
        <v>7749964.75</v>
      </c>
      <c r="AA95" s="4">
        <v>3.4</v>
      </c>
      <c r="AB95" s="6">
        <v>272810.39140000002</v>
      </c>
      <c r="AC95" s="4">
        <v>272810</v>
      </c>
      <c r="AD95" s="4">
        <v>272810</v>
      </c>
      <c r="AE95" s="6">
        <v>0.39140000000000003</v>
      </c>
      <c r="AF95" s="4">
        <v>0</v>
      </c>
      <c r="AG95" s="7">
        <v>0</v>
      </c>
      <c r="AH95" s="2" t="s">
        <v>37</v>
      </c>
      <c r="AI95">
        <v>0</v>
      </c>
      <c r="AJ95" s="3">
        <v>41912.686273148101</v>
      </c>
      <c r="AK95" s="2" t="s">
        <v>2044</v>
      </c>
    </row>
    <row r="96" spans="1:37" x14ac:dyDescent="0.15">
      <c r="A96" s="2" t="s">
        <v>2043</v>
      </c>
      <c r="B96">
        <v>125</v>
      </c>
      <c r="C96" s="3">
        <v>41426</v>
      </c>
      <c r="D96" s="2" t="s">
        <v>37</v>
      </c>
      <c r="E96" s="2" t="s">
        <v>2042</v>
      </c>
      <c r="F96" s="2" t="s">
        <v>41</v>
      </c>
      <c r="G96" s="2" t="s">
        <v>231</v>
      </c>
      <c r="H96" s="2" t="s">
        <v>232</v>
      </c>
      <c r="I96" s="4">
        <v>773935.04</v>
      </c>
      <c r="J96" s="4">
        <v>0</v>
      </c>
      <c r="K96" s="4">
        <v>0</v>
      </c>
      <c r="L96" s="5"/>
      <c r="M96" s="5">
        <v>4</v>
      </c>
      <c r="N96" s="6">
        <v>30957.401600000001</v>
      </c>
      <c r="O96" s="4">
        <v>30958</v>
      </c>
      <c r="P96" s="4">
        <v>30958</v>
      </c>
      <c r="Q96" s="6">
        <v>-0.59840000000000004</v>
      </c>
      <c r="R96" s="4">
        <v>0</v>
      </c>
      <c r="S96" s="4">
        <v>0</v>
      </c>
      <c r="T96" s="4">
        <v>619147</v>
      </c>
      <c r="U96" s="4">
        <v>619147</v>
      </c>
      <c r="V96" s="6">
        <v>79.999899999999997</v>
      </c>
      <c r="W96" s="4">
        <v>0</v>
      </c>
      <c r="X96" s="4">
        <v>0</v>
      </c>
      <c r="Y96" s="4">
        <v>525687.91</v>
      </c>
      <c r="Z96" s="4">
        <v>525687.91</v>
      </c>
      <c r="AA96" s="4">
        <v>3.4</v>
      </c>
      <c r="AB96" s="6">
        <v>26313.791399999998</v>
      </c>
      <c r="AC96" s="4">
        <v>21051</v>
      </c>
      <c r="AD96" s="4">
        <v>21051</v>
      </c>
      <c r="AE96" s="6">
        <v>5262.7914000000001</v>
      </c>
      <c r="AF96" s="4">
        <v>0</v>
      </c>
      <c r="AG96" s="7">
        <v>0</v>
      </c>
      <c r="AH96" s="2" t="s">
        <v>37</v>
      </c>
      <c r="AI96">
        <v>0</v>
      </c>
      <c r="AJ96" s="3">
        <v>41912.6862384259</v>
      </c>
      <c r="AK96" s="2" t="s">
        <v>2041</v>
      </c>
    </row>
    <row r="97" spans="1:37" x14ac:dyDescent="0.15">
      <c r="A97" s="2" t="s">
        <v>2040</v>
      </c>
      <c r="B97">
        <v>826</v>
      </c>
      <c r="C97" s="3">
        <v>41438</v>
      </c>
      <c r="D97" s="2" t="s">
        <v>37</v>
      </c>
      <c r="E97" s="2" t="s">
        <v>2039</v>
      </c>
      <c r="F97" s="2" t="s">
        <v>38</v>
      </c>
      <c r="G97" s="2" t="s">
        <v>233</v>
      </c>
      <c r="H97" s="2" t="s">
        <v>234</v>
      </c>
      <c r="I97" s="4">
        <v>15283442.58</v>
      </c>
      <c r="J97" s="4">
        <v>1303649.56</v>
      </c>
      <c r="K97" s="4">
        <v>1303649.56</v>
      </c>
      <c r="L97" s="5"/>
      <c r="M97" s="5">
        <v>4</v>
      </c>
      <c r="N97" s="6">
        <v>663483.68559999997</v>
      </c>
      <c r="O97" s="4">
        <v>658269</v>
      </c>
      <c r="P97" s="4">
        <v>658269</v>
      </c>
      <c r="Q97" s="6">
        <v>5214.6855999999998</v>
      </c>
      <c r="R97" s="4">
        <v>14335455.08</v>
      </c>
      <c r="S97" s="4">
        <v>14335455.08</v>
      </c>
      <c r="T97" s="4">
        <v>13433095.439999999</v>
      </c>
      <c r="U97" s="4">
        <v>13433095.439999999</v>
      </c>
      <c r="V97" s="6">
        <v>80.985200000000006</v>
      </c>
      <c r="W97" s="4">
        <v>13740016.289999999</v>
      </c>
      <c r="X97" s="4">
        <v>13740016.289999999</v>
      </c>
      <c r="Y97" s="4">
        <v>14227421.289999999</v>
      </c>
      <c r="Z97" s="4">
        <v>14227421.289999999</v>
      </c>
      <c r="AA97" s="4">
        <v>3.4</v>
      </c>
      <c r="AB97" s="6">
        <v>487405.47269999998</v>
      </c>
      <c r="AC97" s="4">
        <v>487405</v>
      </c>
      <c r="AD97" s="4">
        <v>487405</v>
      </c>
      <c r="AE97" s="6">
        <v>0.47270000000000001</v>
      </c>
      <c r="AF97" s="4">
        <v>0</v>
      </c>
      <c r="AG97" s="7">
        <v>0</v>
      </c>
      <c r="AH97" s="2" t="s">
        <v>37</v>
      </c>
      <c r="AI97">
        <v>0</v>
      </c>
      <c r="AJ97" s="3">
        <v>41912.686273148101</v>
      </c>
      <c r="AK97" s="2" t="s">
        <v>2038</v>
      </c>
    </row>
    <row r="98" spans="1:37" x14ac:dyDescent="0.15">
      <c r="A98" s="2" t="s">
        <v>2037</v>
      </c>
      <c r="B98">
        <v>829</v>
      </c>
      <c r="C98" s="3">
        <v>41439</v>
      </c>
      <c r="D98" s="2" t="s">
        <v>37</v>
      </c>
      <c r="E98" s="2" t="s">
        <v>2036</v>
      </c>
      <c r="F98" s="2" t="s">
        <v>38</v>
      </c>
      <c r="G98" s="2" t="s">
        <v>235</v>
      </c>
      <c r="H98" s="2" t="s">
        <v>236</v>
      </c>
      <c r="I98" s="4">
        <v>1712229.71</v>
      </c>
      <c r="J98" s="4">
        <v>0</v>
      </c>
      <c r="K98" s="4">
        <v>0</v>
      </c>
      <c r="L98" s="5"/>
      <c r="M98" s="5">
        <v>3.6</v>
      </c>
      <c r="N98" s="6">
        <v>61640.2696</v>
      </c>
      <c r="O98" s="4">
        <v>61640</v>
      </c>
      <c r="P98" s="4">
        <v>61640</v>
      </c>
      <c r="Q98" s="6">
        <v>0.26960000000000001</v>
      </c>
      <c r="R98" s="4">
        <v>0</v>
      </c>
      <c r="S98" s="4">
        <v>0</v>
      </c>
      <c r="T98" s="4">
        <v>0</v>
      </c>
      <c r="U98" s="4">
        <v>0</v>
      </c>
      <c r="V98" s="6">
        <v>0</v>
      </c>
      <c r="W98" s="4">
        <v>0</v>
      </c>
      <c r="X98" s="4">
        <v>0</v>
      </c>
      <c r="Y98" s="4">
        <v>0</v>
      </c>
      <c r="Z98" s="4">
        <v>0</v>
      </c>
      <c r="AA98" s="4">
        <v>3.4</v>
      </c>
      <c r="AB98" s="6">
        <v>0</v>
      </c>
      <c r="AC98" s="4">
        <v>0</v>
      </c>
      <c r="AD98" s="4">
        <v>0</v>
      </c>
      <c r="AE98" s="6">
        <v>0</v>
      </c>
      <c r="AF98" s="4">
        <v>0</v>
      </c>
      <c r="AG98" s="7">
        <v>19</v>
      </c>
      <c r="AH98" s="2" t="s">
        <v>97</v>
      </c>
      <c r="AI98">
        <v>0</v>
      </c>
      <c r="AJ98" s="3">
        <v>41912.686273148101</v>
      </c>
      <c r="AK98" s="2" t="s">
        <v>2035</v>
      </c>
    </row>
    <row r="99" spans="1:37" x14ac:dyDescent="0.15">
      <c r="A99" s="2" t="s">
        <v>2034</v>
      </c>
      <c r="B99">
        <v>838</v>
      </c>
      <c r="C99" s="3">
        <v>41443</v>
      </c>
      <c r="D99" s="2" t="s">
        <v>37</v>
      </c>
      <c r="E99" s="2" t="s">
        <v>2033</v>
      </c>
      <c r="F99" s="2" t="s">
        <v>38</v>
      </c>
      <c r="G99" s="2" t="s">
        <v>237</v>
      </c>
      <c r="H99" s="2" t="s">
        <v>238</v>
      </c>
      <c r="I99" s="4">
        <v>7389748</v>
      </c>
      <c r="J99" s="4">
        <v>1116572</v>
      </c>
      <c r="K99" s="4">
        <v>1116572</v>
      </c>
      <c r="L99" s="5"/>
      <c r="M99" s="5">
        <v>3</v>
      </c>
      <c r="N99" s="6">
        <v>255189.6</v>
      </c>
      <c r="O99" s="4">
        <v>255192.27</v>
      </c>
      <c r="P99" s="4">
        <v>255192.27</v>
      </c>
      <c r="Q99" s="6">
        <v>-2.67</v>
      </c>
      <c r="R99" s="4">
        <v>8506320</v>
      </c>
      <c r="S99" s="4">
        <v>8506320</v>
      </c>
      <c r="T99" s="4">
        <v>8506320</v>
      </c>
      <c r="U99" s="4">
        <v>8506320</v>
      </c>
      <c r="V99" s="6">
        <v>100</v>
      </c>
      <c r="W99" s="4">
        <v>8036530.9500000002</v>
      </c>
      <c r="X99" s="4">
        <v>8036530.9500000002</v>
      </c>
      <c r="Y99" s="4">
        <v>8505439.0700000003</v>
      </c>
      <c r="Z99" s="4">
        <v>8505439.0700000003</v>
      </c>
      <c r="AA99" s="4">
        <v>3.4</v>
      </c>
      <c r="AB99" s="6">
        <v>289214.88</v>
      </c>
      <c r="AC99" s="4">
        <v>289214</v>
      </c>
      <c r="AD99" s="4">
        <v>289214</v>
      </c>
      <c r="AE99" s="6">
        <v>0.88</v>
      </c>
      <c r="AF99" s="4">
        <v>0</v>
      </c>
      <c r="AG99" s="7">
        <v>50</v>
      </c>
      <c r="AH99" s="2" t="s">
        <v>66</v>
      </c>
      <c r="AI99">
        <v>0</v>
      </c>
      <c r="AJ99" s="3">
        <v>41912.686273148101</v>
      </c>
      <c r="AK99" s="2" t="s">
        <v>2032</v>
      </c>
    </row>
    <row r="100" spans="1:37" x14ac:dyDescent="0.15">
      <c r="A100" s="2" t="s">
        <v>2031</v>
      </c>
      <c r="B100">
        <v>130</v>
      </c>
      <c r="C100" s="3">
        <v>41456</v>
      </c>
      <c r="D100" s="2" t="s">
        <v>37</v>
      </c>
      <c r="E100" s="2" t="s">
        <v>2030</v>
      </c>
      <c r="F100" s="2" t="s">
        <v>41</v>
      </c>
      <c r="G100" s="2" t="s">
        <v>241</v>
      </c>
      <c r="H100" s="2" t="s">
        <v>242</v>
      </c>
      <c r="I100" s="4">
        <v>238178</v>
      </c>
      <c r="J100" s="4">
        <v>0</v>
      </c>
      <c r="K100" s="4">
        <v>0</v>
      </c>
      <c r="L100" s="5"/>
      <c r="M100" s="5">
        <v>4</v>
      </c>
      <c r="N100" s="6">
        <v>9527.1200000000008</v>
      </c>
      <c r="O100" s="4">
        <v>9569</v>
      </c>
      <c r="P100" s="4">
        <v>9569</v>
      </c>
      <c r="Q100" s="6">
        <v>-41.88</v>
      </c>
      <c r="R100" s="4">
        <v>0</v>
      </c>
      <c r="S100" s="4">
        <v>0</v>
      </c>
      <c r="T100" s="4">
        <v>169089</v>
      </c>
      <c r="U100" s="4">
        <v>169089</v>
      </c>
      <c r="V100" s="6">
        <v>70.992699999999999</v>
      </c>
      <c r="W100" s="4">
        <v>0</v>
      </c>
      <c r="X100" s="4">
        <v>0</v>
      </c>
      <c r="Y100" s="4">
        <v>178578</v>
      </c>
      <c r="Z100" s="4">
        <v>178578</v>
      </c>
      <c r="AA100" s="4">
        <v>3.46</v>
      </c>
      <c r="AB100" s="6">
        <v>8240.9588000000003</v>
      </c>
      <c r="AC100" s="4">
        <v>8240.9599999999991</v>
      </c>
      <c r="AD100" s="4">
        <v>8240.9599999999991</v>
      </c>
      <c r="AE100" s="6">
        <v>-1.1999999999999999E-3</v>
      </c>
      <c r="AF100" s="4">
        <v>0</v>
      </c>
      <c r="AG100" s="7">
        <v>0</v>
      </c>
      <c r="AH100" s="2" t="s">
        <v>37</v>
      </c>
      <c r="AI100">
        <v>0</v>
      </c>
      <c r="AJ100" s="3">
        <v>41912.6862384259</v>
      </c>
      <c r="AK100" s="2" t="s">
        <v>2029</v>
      </c>
    </row>
    <row r="101" spans="1:37" x14ac:dyDescent="0.15">
      <c r="A101" s="2" t="s">
        <v>2028</v>
      </c>
      <c r="B101">
        <v>845</v>
      </c>
      <c r="C101" s="3">
        <v>41456</v>
      </c>
      <c r="D101" s="2" t="s">
        <v>37</v>
      </c>
      <c r="E101" s="2" t="s">
        <v>2027</v>
      </c>
      <c r="F101" s="2" t="s">
        <v>38</v>
      </c>
      <c r="G101" s="2" t="s">
        <v>239</v>
      </c>
      <c r="H101" s="2" t="s">
        <v>240</v>
      </c>
      <c r="I101" s="4">
        <v>205000</v>
      </c>
      <c r="J101" s="4">
        <v>0</v>
      </c>
      <c r="K101" s="4">
        <v>0</v>
      </c>
      <c r="L101" s="5"/>
      <c r="M101" s="5">
        <v>3.6</v>
      </c>
      <c r="N101" s="6">
        <v>7380</v>
      </c>
      <c r="O101" s="4">
        <v>7380</v>
      </c>
      <c r="P101" s="4">
        <v>7380</v>
      </c>
      <c r="Q101" s="6">
        <v>0</v>
      </c>
      <c r="R101" s="4">
        <v>194750</v>
      </c>
      <c r="S101" s="4">
        <v>194750</v>
      </c>
      <c r="T101" s="4">
        <v>194750</v>
      </c>
      <c r="U101" s="4">
        <v>194750</v>
      </c>
      <c r="V101" s="6">
        <v>95</v>
      </c>
      <c r="W101" s="4">
        <v>155447.20000000001</v>
      </c>
      <c r="X101" s="4">
        <v>155447.20000000001</v>
      </c>
      <c r="Y101" s="4">
        <v>192069.2</v>
      </c>
      <c r="Z101" s="4">
        <v>192069.2</v>
      </c>
      <c r="AA101" s="4">
        <v>3.4</v>
      </c>
      <c r="AB101" s="6">
        <v>6621.5</v>
      </c>
      <c r="AC101" s="4">
        <v>6622</v>
      </c>
      <c r="AD101" s="4">
        <v>6622</v>
      </c>
      <c r="AE101" s="6">
        <v>-0.5</v>
      </c>
      <c r="AF101" s="4">
        <v>0</v>
      </c>
      <c r="AG101" s="7">
        <v>0</v>
      </c>
      <c r="AH101" s="2" t="s">
        <v>37</v>
      </c>
      <c r="AI101">
        <v>0</v>
      </c>
      <c r="AJ101" s="3">
        <v>41912.686273148101</v>
      </c>
      <c r="AK101" s="2" t="s">
        <v>2026</v>
      </c>
    </row>
    <row r="102" spans="1:37" x14ac:dyDescent="0.15">
      <c r="A102" s="2" t="s">
        <v>2025</v>
      </c>
      <c r="B102">
        <v>847</v>
      </c>
      <c r="C102" s="3">
        <v>41457</v>
      </c>
      <c r="D102" s="2" t="s">
        <v>37</v>
      </c>
      <c r="E102" s="2" t="s">
        <v>2024</v>
      </c>
      <c r="F102" s="2" t="s">
        <v>38</v>
      </c>
      <c r="G102" s="2" t="s">
        <v>243</v>
      </c>
      <c r="H102" s="2" t="s">
        <v>244</v>
      </c>
      <c r="I102" s="4">
        <v>5287718</v>
      </c>
      <c r="J102" s="4">
        <v>0</v>
      </c>
      <c r="K102" s="4">
        <v>0</v>
      </c>
      <c r="L102" s="5"/>
      <c r="M102" s="5">
        <v>3</v>
      </c>
      <c r="N102" s="6">
        <v>158631.54</v>
      </c>
      <c r="O102" s="4">
        <v>0</v>
      </c>
      <c r="P102" s="4">
        <v>0</v>
      </c>
      <c r="Q102" s="6">
        <v>158631.54</v>
      </c>
      <c r="R102" s="4">
        <v>0</v>
      </c>
      <c r="S102" s="4">
        <v>0</v>
      </c>
      <c r="T102" s="4">
        <v>0</v>
      </c>
      <c r="U102" s="4">
        <v>0</v>
      </c>
      <c r="V102" s="6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3.4</v>
      </c>
      <c r="AB102" s="6">
        <v>0</v>
      </c>
      <c r="AC102" s="4">
        <v>0</v>
      </c>
      <c r="AD102" s="4">
        <v>0</v>
      </c>
      <c r="AE102" s="6">
        <v>0</v>
      </c>
      <c r="AF102" s="4">
        <v>0</v>
      </c>
      <c r="AG102" s="7">
        <v>15</v>
      </c>
      <c r="AH102" s="2" t="s">
        <v>66</v>
      </c>
      <c r="AI102">
        <v>0</v>
      </c>
      <c r="AJ102" s="3">
        <v>41912.686273148101</v>
      </c>
      <c r="AK102" s="2" t="s">
        <v>2023</v>
      </c>
    </row>
    <row r="103" spans="1:37" x14ac:dyDescent="0.15">
      <c r="A103" s="2" t="s">
        <v>2022</v>
      </c>
      <c r="B103">
        <v>854</v>
      </c>
      <c r="C103" s="3">
        <v>41459</v>
      </c>
      <c r="D103" s="2" t="s">
        <v>37</v>
      </c>
      <c r="E103" s="2" t="s">
        <v>2021</v>
      </c>
      <c r="F103" s="2" t="s">
        <v>38</v>
      </c>
      <c r="G103" s="2" t="s">
        <v>245</v>
      </c>
      <c r="H103" s="2" t="s">
        <v>246</v>
      </c>
      <c r="I103" s="4">
        <v>2440063.9</v>
      </c>
      <c r="J103" s="4">
        <v>0</v>
      </c>
      <c r="K103" s="4">
        <v>0</v>
      </c>
      <c r="L103" s="5"/>
      <c r="M103" s="5">
        <v>4.5999999999999996</v>
      </c>
      <c r="N103" s="6">
        <v>112242.9394</v>
      </c>
      <c r="O103" s="4">
        <v>112243.75</v>
      </c>
      <c r="P103" s="4">
        <v>112243.75</v>
      </c>
      <c r="Q103" s="6">
        <v>-0.81059999999999999</v>
      </c>
      <c r="R103" s="4">
        <v>2352756.3199999998</v>
      </c>
      <c r="S103" s="4">
        <v>2352756.3199999998</v>
      </c>
      <c r="T103" s="4">
        <v>1952051.12</v>
      </c>
      <c r="U103" s="4">
        <v>1952051.12</v>
      </c>
      <c r="V103" s="6">
        <v>80</v>
      </c>
      <c r="W103" s="4">
        <v>1554257.75</v>
      </c>
      <c r="X103" s="4">
        <v>1554257.75</v>
      </c>
      <c r="Y103" s="4">
        <v>1936975.93</v>
      </c>
      <c r="Z103" s="4">
        <v>1936975.93</v>
      </c>
      <c r="AA103" s="4">
        <v>3.74</v>
      </c>
      <c r="AB103" s="6">
        <v>87993.0864</v>
      </c>
      <c r="AC103" s="4">
        <v>87993.09</v>
      </c>
      <c r="AD103" s="4">
        <v>87993.09</v>
      </c>
      <c r="AE103" s="6">
        <v>-3.5999999999999999E-3</v>
      </c>
      <c r="AF103" s="4">
        <v>0</v>
      </c>
      <c r="AG103" s="7">
        <v>0</v>
      </c>
      <c r="AH103" s="2" t="s">
        <v>37</v>
      </c>
      <c r="AI103">
        <v>0</v>
      </c>
      <c r="AJ103" s="3">
        <v>41912.686273148101</v>
      </c>
      <c r="AK103" s="2" t="s">
        <v>2020</v>
      </c>
    </row>
    <row r="104" spans="1:37" x14ac:dyDescent="0.15">
      <c r="A104" s="2" t="s">
        <v>2019</v>
      </c>
      <c r="B104">
        <v>861</v>
      </c>
      <c r="C104" s="3">
        <v>41470</v>
      </c>
      <c r="D104" s="2" t="s">
        <v>37</v>
      </c>
      <c r="E104" s="2" t="s">
        <v>2018</v>
      </c>
      <c r="F104" s="2" t="s">
        <v>38</v>
      </c>
      <c r="G104" s="2" t="s">
        <v>247</v>
      </c>
      <c r="H104" s="2" t="s">
        <v>248</v>
      </c>
      <c r="I104" s="4">
        <v>1457017.94</v>
      </c>
      <c r="J104" s="4">
        <v>0</v>
      </c>
      <c r="K104" s="4">
        <v>0</v>
      </c>
      <c r="L104" s="5"/>
      <c r="M104" s="5">
        <v>3.6</v>
      </c>
      <c r="N104" s="6">
        <v>52452.645799999998</v>
      </c>
      <c r="O104" s="4">
        <v>52453</v>
      </c>
      <c r="P104" s="4">
        <v>52453</v>
      </c>
      <c r="Q104" s="6">
        <v>-0.35420000000000001</v>
      </c>
      <c r="R104" s="4">
        <v>1400000</v>
      </c>
      <c r="S104" s="4">
        <v>1400000</v>
      </c>
      <c r="T104" s="4">
        <v>1400000</v>
      </c>
      <c r="U104" s="4">
        <v>1400000</v>
      </c>
      <c r="V104" s="6">
        <v>96.086699999999993</v>
      </c>
      <c r="W104" s="4">
        <v>1335000</v>
      </c>
      <c r="X104" s="4">
        <v>1335000</v>
      </c>
      <c r="Y104" s="4">
        <v>1384348</v>
      </c>
      <c r="Z104" s="4">
        <v>1384348</v>
      </c>
      <c r="AA104" s="4">
        <v>3.4</v>
      </c>
      <c r="AB104" s="6">
        <v>47600</v>
      </c>
      <c r="AC104" s="4">
        <v>47600</v>
      </c>
      <c r="AD104" s="4">
        <v>47600</v>
      </c>
      <c r="AE104" s="6">
        <v>0</v>
      </c>
      <c r="AF104" s="4">
        <v>0</v>
      </c>
      <c r="AG104" s="7">
        <v>0</v>
      </c>
      <c r="AH104" s="2" t="s">
        <v>37</v>
      </c>
      <c r="AI104">
        <v>0</v>
      </c>
      <c r="AJ104" s="3">
        <v>41912.686273148101</v>
      </c>
      <c r="AK104" s="2" t="s">
        <v>2017</v>
      </c>
    </row>
    <row r="105" spans="1:37" x14ac:dyDescent="0.15">
      <c r="A105" s="2" t="s">
        <v>2016</v>
      </c>
      <c r="B105">
        <v>865</v>
      </c>
      <c r="C105" s="3">
        <v>41472</v>
      </c>
      <c r="D105" s="2" t="s">
        <v>37</v>
      </c>
      <c r="E105" s="2" t="s">
        <v>2015</v>
      </c>
      <c r="F105" s="2" t="s">
        <v>38</v>
      </c>
      <c r="G105" s="2" t="s">
        <v>249</v>
      </c>
      <c r="H105" s="2" t="s">
        <v>250</v>
      </c>
      <c r="I105" s="4">
        <v>190000</v>
      </c>
      <c r="J105" s="4">
        <v>0</v>
      </c>
      <c r="K105" s="4">
        <v>0</v>
      </c>
      <c r="L105" s="5"/>
      <c r="M105" s="5">
        <v>3.6</v>
      </c>
      <c r="N105" s="6">
        <v>6840</v>
      </c>
      <c r="O105" s="4">
        <v>0</v>
      </c>
      <c r="P105" s="4">
        <v>0</v>
      </c>
      <c r="Q105" s="6">
        <v>6840</v>
      </c>
      <c r="R105" s="4">
        <v>180500</v>
      </c>
      <c r="S105" s="4">
        <v>180500</v>
      </c>
      <c r="T105" s="4">
        <v>57000</v>
      </c>
      <c r="U105" s="4">
        <v>57000</v>
      </c>
      <c r="V105" s="6">
        <v>30</v>
      </c>
      <c r="W105" s="4">
        <v>0</v>
      </c>
      <c r="X105" s="4">
        <v>0</v>
      </c>
      <c r="Y105" s="4">
        <v>50000</v>
      </c>
      <c r="Z105" s="4">
        <v>50000</v>
      </c>
      <c r="AA105" s="4">
        <v>3.4</v>
      </c>
      <c r="AB105" s="6">
        <v>6137</v>
      </c>
      <c r="AC105" s="4">
        <v>0</v>
      </c>
      <c r="AD105" s="4">
        <v>0</v>
      </c>
      <c r="AE105" s="6">
        <v>6137</v>
      </c>
      <c r="AF105" s="4">
        <v>0</v>
      </c>
      <c r="AG105" s="7">
        <v>0</v>
      </c>
      <c r="AH105" s="2" t="s">
        <v>37</v>
      </c>
      <c r="AI105">
        <v>0</v>
      </c>
      <c r="AJ105" s="3">
        <v>41912.686273148101</v>
      </c>
      <c r="AK105" s="2" t="s">
        <v>2014</v>
      </c>
    </row>
    <row r="106" spans="1:37" x14ac:dyDescent="0.15">
      <c r="A106" s="2" t="s">
        <v>2013</v>
      </c>
      <c r="B106">
        <v>872</v>
      </c>
      <c r="C106" s="3">
        <v>41484</v>
      </c>
      <c r="D106" s="2" t="s">
        <v>37</v>
      </c>
      <c r="E106" s="2" t="s">
        <v>2012</v>
      </c>
      <c r="F106" s="2" t="s">
        <v>38</v>
      </c>
      <c r="G106" s="2" t="s">
        <v>251</v>
      </c>
      <c r="H106" s="2" t="s">
        <v>252</v>
      </c>
      <c r="I106" s="4">
        <v>2768475</v>
      </c>
      <c r="J106" s="4">
        <v>0</v>
      </c>
      <c r="K106" s="4">
        <v>0</v>
      </c>
      <c r="L106" s="5"/>
      <c r="M106" s="5">
        <v>3.6</v>
      </c>
      <c r="N106" s="6">
        <v>99665.1</v>
      </c>
      <c r="O106" s="4">
        <v>99665</v>
      </c>
      <c r="P106" s="4">
        <v>99665</v>
      </c>
      <c r="Q106" s="6">
        <v>0.1</v>
      </c>
      <c r="R106" s="4">
        <v>2353204</v>
      </c>
      <c r="S106" s="4">
        <v>2353204</v>
      </c>
      <c r="T106" s="4">
        <v>2353204</v>
      </c>
      <c r="U106" s="4">
        <v>2353204</v>
      </c>
      <c r="V106" s="6">
        <v>85</v>
      </c>
      <c r="W106" s="4">
        <v>2021228.99</v>
      </c>
      <c r="X106" s="4">
        <v>2021228.99</v>
      </c>
      <c r="Y106" s="4">
        <v>2338304.9900000002</v>
      </c>
      <c r="Z106" s="4">
        <v>2338304.9900000002</v>
      </c>
      <c r="AA106" s="4">
        <v>3.4</v>
      </c>
      <c r="AB106" s="6">
        <v>80008.936000000002</v>
      </c>
      <c r="AC106" s="4">
        <v>80009</v>
      </c>
      <c r="AD106" s="4">
        <v>80009</v>
      </c>
      <c r="AE106" s="6">
        <v>-6.4000000000000001E-2</v>
      </c>
      <c r="AF106" s="4">
        <v>0</v>
      </c>
      <c r="AG106" s="7">
        <v>0</v>
      </c>
      <c r="AH106" s="2" t="s">
        <v>37</v>
      </c>
      <c r="AI106">
        <v>0</v>
      </c>
      <c r="AJ106" s="3">
        <v>41912.686273148101</v>
      </c>
      <c r="AK106" s="2" t="s">
        <v>2011</v>
      </c>
    </row>
    <row r="107" spans="1:37" x14ac:dyDescent="0.15">
      <c r="A107" s="2" t="s">
        <v>2010</v>
      </c>
      <c r="B107">
        <v>880</v>
      </c>
      <c r="C107" s="3">
        <v>41484</v>
      </c>
      <c r="D107" s="2" t="s">
        <v>37</v>
      </c>
      <c r="E107" s="2" t="s">
        <v>2009</v>
      </c>
      <c r="F107" s="2" t="s">
        <v>38</v>
      </c>
      <c r="G107" s="2" t="s">
        <v>253</v>
      </c>
      <c r="H107" s="2" t="s">
        <v>254</v>
      </c>
      <c r="I107" s="4">
        <v>19543207.129999999</v>
      </c>
      <c r="J107" s="4">
        <v>0</v>
      </c>
      <c r="K107" s="4">
        <v>0</v>
      </c>
      <c r="L107" s="5"/>
      <c r="M107" s="5">
        <v>3</v>
      </c>
      <c r="N107" s="6">
        <v>586296.21389999997</v>
      </c>
      <c r="O107" s="4">
        <v>586297</v>
      </c>
      <c r="P107" s="4">
        <v>586297</v>
      </c>
      <c r="Q107" s="6">
        <v>-0.78610000000000002</v>
      </c>
      <c r="R107" s="4">
        <v>12820000</v>
      </c>
      <c r="S107" s="4">
        <v>12820000</v>
      </c>
      <c r="T107" s="4">
        <v>7790000</v>
      </c>
      <c r="U107" s="4">
        <v>7790000</v>
      </c>
      <c r="V107" s="6">
        <v>39.860399999999998</v>
      </c>
      <c r="W107" s="4">
        <v>10117250.52</v>
      </c>
      <c r="X107" s="4">
        <v>10117250.52</v>
      </c>
      <c r="Y107" s="4">
        <v>10577625.82</v>
      </c>
      <c r="Z107" s="4">
        <v>10577625.82</v>
      </c>
      <c r="AA107" s="4">
        <v>3.4</v>
      </c>
      <c r="AB107" s="6">
        <v>435880</v>
      </c>
      <c r="AC107" s="4">
        <v>232900</v>
      </c>
      <c r="AD107" s="4">
        <v>232900</v>
      </c>
      <c r="AE107" s="6">
        <v>202980</v>
      </c>
      <c r="AF107" s="4">
        <v>0</v>
      </c>
      <c r="AG107" s="7">
        <v>96</v>
      </c>
      <c r="AH107" s="2" t="s">
        <v>66</v>
      </c>
      <c r="AI107">
        <v>0</v>
      </c>
      <c r="AJ107" s="3">
        <v>41912.686273148101</v>
      </c>
      <c r="AK107" s="2" t="s">
        <v>2008</v>
      </c>
    </row>
    <row r="108" spans="1:37" x14ac:dyDescent="0.15">
      <c r="A108" s="2" t="s">
        <v>2007</v>
      </c>
      <c r="B108">
        <v>896</v>
      </c>
      <c r="C108" s="3">
        <v>41487</v>
      </c>
      <c r="D108" s="2" t="s">
        <v>37</v>
      </c>
      <c r="E108" s="2" t="s">
        <v>2006</v>
      </c>
      <c r="F108" s="2" t="s">
        <v>38</v>
      </c>
      <c r="G108" s="2" t="s">
        <v>257</v>
      </c>
      <c r="H108" s="2" t="s">
        <v>258</v>
      </c>
      <c r="I108" s="4">
        <v>3427568</v>
      </c>
      <c r="J108" s="4">
        <v>0</v>
      </c>
      <c r="K108" s="4">
        <v>0</v>
      </c>
      <c r="L108" s="5"/>
      <c r="M108" s="5">
        <v>3</v>
      </c>
      <c r="N108" s="6">
        <v>102827.04</v>
      </c>
      <c r="O108" s="4">
        <v>102827</v>
      </c>
      <c r="P108" s="4">
        <v>102827</v>
      </c>
      <c r="Q108" s="6">
        <v>0.04</v>
      </c>
      <c r="R108" s="4">
        <v>2742054.4</v>
      </c>
      <c r="S108" s="4">
        <v>2742054.4</v>
      </c>
      <c r="T108" s="4">
        <v>2576919.6800000002</v>
      </c>
      <c r="U108" s="4">
        <v>2576919.6800000002</v>
      </c>
      <c r="V108" s="6">
        <v>75.182199999999995</v>
      </c>
      <c r="W108" s="4">
        <v>2316496.25</v>
      </c>
      <c r="X108" s="4">
        <v>2316496.25</v>
      </c>
      <c r="Y108" s="4">
        <v>2572434.86</v>
      </c>
      <c r="Z108" s="4">
        <v>2572434.86</v>
      </c>
      <c r="AA108" s="4">
        <v>3.74</v>
      </c>
      <c r="AB108" s="6">
        <v>102552.8346</v>
      </c>
      <c r="AC108" s="4">
        <v>102552.83</v>
      </c>
      <c r="AD108" s="4">
        <v>102552.83</v>
      </c>
      <c r="AE108" s="6">
        <v>4.5999999999999999E-3</v>
      </c>
      <c r="AF108" s="4">
        <v>0</v>
      </c>
      <c r="AG108" s="7">
        <v>42</v>
      </c>
      <c r="AH108" s="2" t="s">
        <v>66</v>
      </c>
      <c r="AI108">
        <v>0</v>
      </c>
      <c r="AJ108" s="3">
        <v>41912.686273148101</v>
      </c>
      <c r="AK108" s="2" t="s">
        <v>2005</v>
      </c>
    </row>
    <row r="109" spans="1:37" x14ac:dyDescent="0.15">
      <c r="A109" s="2" t="s">
        <v>2004</v>
      </c>
      <c r="B109">
        <v>135</v>
      </c>
      <c r="C109" s="3">
        <v>41487</v>
      </c>
      <c r="D109" s="2" t="s">
        <v>37</v>
      </c>
      <c r="E109" s="2" t="s">
        <v>2003</v>
      </c>
      <c r="F109" s="2" t="s">
        <v>41</v>
      </c>
      <c r="G109" s="2" t="s">
        <v>255</v>
      </c>
      <c r="H109" s="2" t="s">
        <v>256</v>
      </c>
      <c r="I109" s="4">
        <v>6455953.0800000001</v>
      </c>
      <c r="J109" s="4">
        <v>0</v>
      </c>
      <c r="K109" s="4">
        <v>0</v>
      </c>
      <c r="L109" s="5"/>
      <c r="M109" s="5">
        <v>4</v>
      </c>
      <c r="N109" s="6">
        <v>258238.1232</v>
      </c>
      <c r="O109" s="4">
        <v>258238.12</v>
      </c>
      <c r="P109" s="4">
        <v>258238.12</v>
      </c>
      <c r="Q109" s="6">
        <v>3.2000000000000002E-3</v>
      </c>
      <c r="R109" s="4">
        <v>0</v>
      </c>
      <c r="S109" s="4">
        <v>0</v>
      </c>
      <c r="T109" s="4">
        <v>6131964.8099999996</v>
      </c>
      <c r="U109" s="4">
        <v>6131964.8099999996</v>
      </c>
      <c r="V109" s="6">
        <v>94.9816</v>
      </c>
      <c r="W109" s="4">
        <v>0</v>
      </c>
      <c r="X109" s="4">
        <v>0</v>
      </c>
      <c r="Y109" s="4">
        <v>5413506.1699999999</v>
      </c>
      <c r="Z109" s="4">
        <v>5413506.1699999999</v>
      </c>
      <c r="AA109" s="4">
        <v>3.4</v>
      </c>
      <c r="AB109" s="6">
        <v>219502.40470000001</v>
      </c>
      <c r="AC109" s="4">
        <v>208486.96</v>
      </c>
      <c r="AD109" s="4">
        <v>208486.96</v>
      </c>
      <c r="AE109" s="6">
        <v>11015.4447</v>
      </c>
      <c r="AF109" s="4">
        <v>0</v>
      </c>
      <c r="AG109" s="7">
        <v>0</v>
      </c>
      <c r="AH109" s="2" t="s">
        <v>37</v>
      </c>
      <c r="AI109">
        <v>0</v>
      </c>
      <c r="AJ109" s="3">
        <v>41912.6862384259</v>
      </c>
      <c r="AK109" s="2" t="s">
        <v>2002</v>
      </c>
    </row>
    <row r="110" spans="1:37" x14ac:dyDescent="0.15">
      <c r="A110" s="2" t="s">
        <v>2001</v>
      </c>
      <c r="B110">
        <v>888</v>
      </c>
      <c r="C110" s="3">
        <v>41494</v>
      </c>
      <c r="D110" s="2" t="s">
        <v>37</v>
      </c>
      <c r="E110" s="2" t="s">
        <v>2000</v>
      </c>
      <c r="F110" s="2" t="s">
        <v>38</v>
      </c>
      <c r="G110" s="2" t="s">
        <v>259</v>
      </c>
      <c r="H110" s="2" t="s">
        <v>260</v>
      </c>
      <c r="I110" s="4">
        <v>8061172</v>
      </c>
      <c r="J110" s="4">
        <v>0</v>
      </c>
      <c r="K110" s="4">
        <v>0</v>
      </c>
      <c r="L110" s="5"/>
      <c r="M110" s="5">
        <v>3</v>
      </c>
      <c r="N110" s="6">
        <v>241835.16</v>
      </c>
      <c r="O110" s="4">
        <v>240000</v>
      </c>
      <c r="P110" s="4">
        <v>240000</v>
      </c>
      <c r="Q110" s="6">
        <v>1835.16</v>
      </c>
      <c r="R110" s="4">
        <v>1600000</v>
      </c>
      <c r="S110" s="4">
        <v>1600000</v>
      </c>
      <c r="T110" s="4">
        <v>1040000</v>
      </c>
      <c r="U110" s="4">
        <v>1040000</v>
      </c>
      <c r="V110" s="6">
        <v>12.901300000000001</v>
      </c>
      <c r="W110" s="4">
        <v>1002259</v>
      </c>
      <c r="X110" s="4">
        <v>1002259</v>
      </c>
      <c r="Y110" s="4">
        <v>1039549</v>
      </c>
      <c r="Z110" s="4">
        <v>1039549</v>
      </c>
      <c r="AA110" s="4">
        <v>3.74</v>
      </c>
      <c r="AB110" s="6">
        <v>59840</v>
      </c>
      <c r="AC110" s="4">
        <v>59840</v>
      </c>
      <c r="AD110" s="4">
        <v>59840</v>
      </c>
      <c r="AE110" s="6">
        <v>0</v>
      </c>
      <c r="AF110" s="4">
        <v>0</v>
      </c>
      <c r="AG110" s="7">
        <v>105</v>
      </c>
      <c r="AH110" s="2" t="s">
        <v>66</v>
      </c>
      <c r="AI110">
        <v>0</v>
      </c>
      <c r="AJ110" s="3">
        <v>41912.686273148101</v>
      </c>
      <c r="AK110" s="2" t="s">
        <v>1999</v>
      </c>
    </row>
    <row r="111" spans="1:37" x14ac:dyDescent="0.15">
      <c r="A111" s="2" t="s">
        <v>1998</v>
      </c>
      <c r="B111">
        <v>904</v>
      </c>
      <c r="C111" s="3">
        <v>41496</v>
      </c>
      <c r="D111" s="2" t="s">
        <v>37</v>
      </c>
      <c r="E111" s="2" t="s">
        <v>1997</v>
      </c>
      <c r="F111" s="2" t="s">
        <v>38</v>
      </c>
      <c r="G111" s="2" t="s">
        <v>261</v>
      </c>
      <c r="H111" s="2" t="s">
        <v>262</v>
      </c>
      <c r="I111" s="4">
        <v>2823828.2</v>
      </c>
      <c r="J111" s="4">
        <v>0</v>
      </c>
      <c r="K111" s="4">
        <v>0</v>
      </c>
      <c r="L111" s="5"/>
      <c r="M111" s="5">
        <v>3</v>
      </c>
      <c r="N111" s="6">
        <v>84714.846000000005</v>
      </c>
      <c r="O111" s="4">
        <v>84715</v>
      </c>
      <c r="P111" s="4">
        <v>84715</v>
      </c>
      <c r="Q111" s="6">
        <v>-0.154</v>
      </c>
      <c r="R111" s="4">
        <v>2034096.63</v>
      </c>
      <c r="S111" s="4">
        <v>2034096.63</v>
      </c>
      <c r="T111" s="4">
        <v>2034096.63</v>
      </c>
      <c r="U111" s="4">
        <v>2034096.63</v>
      </c>
      <c r="V111" s="6">
        <v>72.033299999999997</v>
      </c>
      <c r="W111" s="4">
        <v>1735922.11</v>
      </c>
      <c r="X111" s="4">
        <v>1735922.11</v>
      </c>
      <c r="Y111" s="4">
        <v>1805082.11</v>
      </c>
      <c r="Z111" s="4">
        <v>1805082.11</v>
      </c>
      <c r="AA111" s="4">
        <v>3.4</v>
      </c>
      <c r="AB111" s="6">
        <v>69159.285399999993</v>
      </c>
      <c r="AC111" s="4">
        <v>69160</v>
      </c>
      <c r="AD111" s="4">
        <v>69160</v>
      </c>
      <c r="AE111" s="6">
        <v>-0.71460000000000001</v>
      </c>
      <c r="AF111" s="4">
        <v>0</v>
      </c>
      <c r="AG111" s="7">
        <v>6</v>
      </c>
      <c r="AH111" s="2" t="s">
        <v>66</v>
      </c>
      <c r="AI111">
        <v>0</v>
      </c>
      <c r="AJ111" s="3">
        <v>41912.686273148101</v>
      </c>
      <c r="AK111" s="2" t="s">
        <v>1996</v>
      </c>
    </row>
    <row r="112" spans="1:37" x14ac:dyDescent="0.15">
      <c r="A112" s="2" t="s">
        <v>1995</v>
      </c>
      <c r="B112">
        <v>911</v>
      </c>
      <c r="C112" s="3">
        <v>41506</v>
      </c>
      <c r="D112" s="2" t="s">
        <v>37</v>
      </c>
      <c r="E112" s="2" t="s">
        <v>1994</v>
      </c>
      <c r="F112" s="2" t="s">
        <v>38</v>
      </c>
      <c r="G112" s="2" t="s">
        <v>263</v>
      </c>
      <c r="H112" s="2" t="s">
        <v>264</v>
      </c>
      <c r="I112" s="4">
        <v>17411600</v>
      </c>
      <c r="J112" s="4">
        <v>14846</v>
      </c>
      <c r="K112" s="4">
        <v>14846</v>
      </c>
      <c r="L112" s="5"/>
      <c r="M112" s="5">
        <v>3</v>
      </c>
      <c r="N112" s="6">
        <v>522793.38</v>
      </c>
      <c r="O112" s="4">
        <v>522348</v>
      </c>
      <c r="P112" s="4">
        <v>522348</v>
      </c>
      <c r="Q112" s="6">
        <v>445.38</v>
      </c>
      <c r="R112" s="4">
        <v>17426446</v>
      </c>
      <c r="S112" s="4">
        <v>17426446</v>
      </c>
      <c r="T112" s="4">
        <v>11880000</v>
      </c>
      <c r="U112" s="4">
        <v>11880000</v>
      </c>
      <c r="V112" s="6">
        <v>68.172200000000004</v>
      </c>
      <c r="W112" s="4">
        <v>11232076.699999999</v>
      </c>
      <c r="X112" s="4">
        <v>11232076.699999999</v>
      </c>
      <c r="Y112" s="4">
        <v>11735031.74</v>
      </c>
      <c r="Z112" s="4">
        <v>11735031.74</v>
      </c>
      <c r="AA112" s="4"/>
      <c r="AB112" s="6"/>
      <c r="AC112" s="4">
        <v>0</v>
      </c>
      <c r="AD112" s="4">
        <v>0</v>
      </c>
      <c r="AE112" s="6"/>
      <c r="AF112" s="4">
        <v>0</v>
      </c>
      <c r="AG112" s="7">
        <v>0</v>
      </c>
      <c r="AH112" s="2" t="s">
        <v>37</v>
      </c>
      <c r="AI112">
        <v>0</v>
      </c>
      <c r="AJ112" s="3">
        <v>41912.686273148101</v>
      </c>
      <c r="AK112" s="2" t="s">
        <v>1993</v>
      </c>
    </row>
    <row r="113" spans="1:37" x14ac:dyDescent="0.15">
      <c r="A113" s="2" t="s">
        <v>1992</v>
      </c>
      <c r="B113">
        <v>918</v>
      </c>
      <c r="C113" s="3">
        <v>41511</v>
      </c>
      <c r="D113" s="2" t="s">
        <v>37</v>
      </c>
      <c r="E113" s="2" t="s">
        <v>1991</v>
      </c>
      <c r="F113" s="2" t="s">
        <v>38</v>
      </c>
      <c r="G113" s="2" t="s">
        <v>265</v>
      </c>
      <c r="H113" s="2" t="s">
        <v>266</v>
      </c>
      <c r="I113" s="4">
        <v>407310.98</v>
      </c>
      <c r="J113" s="4">
        <v>0</v>
      </c>
      <c r="K113" s="4">
        <v>0</v>
      </c>
      <c r="L113" s="5"/>
      <c r="M113" s="5">
        <v>3.6</v>
      </c>
      <c r="N113" s="6">
        <v>14663.195299999999</v>
      </c>
      <c r="O113" s="4">
        <v>14663</v>
      </c>
      <c r="P113" s="4">
        <v>14663</v>
      </c>
      <c r="Q113" s="6">
        <v>0.1953</v>
      </c>
      <c r="R113" s="4">
        <v>407310.98</v>
      </c>
      <c r="S113" s="4">
        <v>407310.98</v>
      </c>
      <c r="T113" s="4">
        <v>350000</v>
      </c>
      <c r="U113" s="4">
        <v>350000</v>
      </c>
      <c r="V113" s="6">
        <v>85.929400000000001</v>
      </c>
      <c r="W113" s="4">
        <v>300000</v>
      </c>
      <c r="X113" s="4">
        <v>300000</v>
      </c>
      <c r="Y113" s="4">
        <v>313849</v>
      </c>
      <c r="Z113" s="4">
        <v>313849</v>
      </c>
      <c r="AA113" s="4">
        <v>3.4</v>
      </c>
      <c r="AB113" s="6">
        <v>13848.5733</v>
      </c>
      <c r="AC113" s="4">
        <v>13849</v>
      </c>
      <c r="AD113" s="4">
        <v>13849</v>
      </c>
      <c r="AE113" s="6">
        <v>-0.42670000000000002</v>
      </c>
      <c r="AF113" s="4">
        <v>0</v>
      </c>
      <c r="AG113" s="7">
        <v>0</v>
      </c>
      <c r="AH113" s="2" t="s">
        <v>37</v>
      </c>
      <c r="AI113">
        <v>0</v>
      </c>
      <c r="AJ113" s="3">
        <v>41912.686273148101</v>
      </c>
      <c r="AK113" s="2" t="s">
        <v>1990</v>
      </c>
    </row>
    <row r="114" spans="1:37" x14ac:dyDescent="0.15">
      <c r="A114" s="2" t="s">
        <v>1989</v>
      </c>
      <c r="B114">
        <v>140</v>
      </c>
      <c r="C114" s="3">
        <v>41518</v>
      </c>
      <c r="D114" s="2" t="s">
        <v>37</v>
      </c>
      <c r="E114" s="2" t="s">
        <v>1988</v>
      </c>
      <c r="F114" s="2" t="s">
        <v>41</v>
      </c>
      <c r="G114" s="2" t="s">
        <v>267</v>
      </c>
      <c r="H114" s="2" t="s">
        <v>268</v>
      </c>
      <c r="I114" s="4">
        <v>1860000</v>
      </c>
      <c r="J114" s="4">
        <v>0</v>
      </c>
      <c r="K114" s="4">
        <v>0</v>
      </c>
      <c r="L114" s="5"/>
      <c r="M114" s="5">
        <v>4</v>
      </c>
      <c r="N114" s="6">
        <v>74400</v>
      </c>
      <c r="O114" s="4">
        <v>74400</v>
      </c>
      <c r="P114" s="4">
        <v>74400</v>
      </c>
      <c r="Q114" s="6">
        <v>0</v>
      </c>
      <c r="R114" s="4">
        <v>0</v>
      </c>
      <c r="S114" s="4">
        <v>0</v>
      </c>
      <c r="T114" s="4">
        <v>1250000</v>
      </c>
      <c r="U114" s="4">
        <v>1250000</v>
      </c>
      <c r="V114" s="6">
        <v>67.204300000000003</v>
      </c>
      <c r="W114" s="4">
        <v>0</v>
      </c>
      <c r="X114" s="4">
        <v>0</v>
      </c>
      <c r="Y114" s="4">
        <v>1088668.1499999999</v>
      </c>
      <c r="Z114" s="4">
        <v>1088668.1499999999</v>
      </c>
      <c r="AA114" s="4">
        <v>3.4</v>
      </c>
      <c r="AB114" s="6">
        <v>63240</v>
      </c>
      <c r="AC114" s="4">
        <v>42500</v>
      </c>
      <c r="AD114" s="4">
        <v>42500</v>
      </c>
      <c r="AE114" s="6">
        <v>20740</v>
      </c>
      <c r="AF114" s="4">
        <v>0</v>
      </c>
      <c r="AG114" s="7">
        <v>0</v>
      </c>
      <c r="AH114" s="2" t="s">
        <v>37</v>
      </c>
      <c r="AI114">
        <v>0</v>
      </c>
      <c r="AJ114" s="3">
        <v>41912.6862384259</v>
      </c>
      <c r="AK114" s="2" t="s">
        <v>1987</v>
      </c>
    </row>
    <row r="115" spans="1:37" x14ac:dyDescent="0.15">
      <c r="A115" s="2" t="s">
        <v>1986</v>
      </c>
      <c r="B115">
        <v>927</v>
      </c>
      <c r="C115" s="3">
        <v>41519</v>
      </c>
      <c r="D115" s="2" t="s">
        <v>37</v>
      </c>
      <c r="E115" s="2" t="s">
        <v>1985</v>
      </c>
      <c r="F115" s="2" t="s">
        <v>38</v>
      </c>
      <c r="G115" s="2" t="s">
        <v>269</v>
      </c>
      <c r="H115" s="2" t="s">
        <v>270</v>
      </c>
      <c r="I115" s="4">
        <v>8700000</v>
      </c>
      <c r="J115" s="4">
        <v>7411961</v>
      </c>
      <c r="K115" s="4">
        <v>7411961</v>
      </c>
      <c r="L115" s="5"/>
      <c r="M115" s="5">
        <v>3</v>
      </c>
      <c r="N115" s="6">
        <v>483358.83</v>
      </c>
      <c r="O115" s="4">
        <v>476853</v>
      </c>
      <c r="P115" s="4">
        <v>476853</v>
      </c>
      <c r="Q115" s="6">
        <v>6505.83</v>
      </c>
      <c r="R115" s="4">
        <v>10308167.640000001</v>
      </c>
      <c r="S115" s="4">
        <v>10308167.640000001</v>
      </c>
      <c r="T115" s="4">
        <v>9343700.0500000007</v>
      </c>
      <c r="U115" s="4">
        <v>9343700.0500000007</v>
      </c>
      <c r="V115" s="6">
        <v>57.9923</v>
      </c>
      <c r="W115" s="4">
        <v>7420626.79</v>
      </c>
      <c r="X115" s="4">
        <v>7420626.79</v>
      </c>
      <c r="Y115" s="4">
        <v>8252263.79</v>
      </c>
      <c r="Z115" s="4">
        <v>8252263.79</v>
      </c>
      <c r="AA115" s="4">
        <v>3.4</v>
      </c>
      <c r="AB115" s="6">
        <v>350477.6998</v>
      </c>
      <c r="AC115" s="4">
        <v>350477</v>
      </c>
      <c r="AD115" s="4">
        <v>350477</v>
      </c>
      <c r="AE115" s="6">
        <v>0.69979999999999998</v>
      </c>
      <c r="AF115" s="4">
        <v>0</v>
      </c>
      <c r="AG115" s="7">
        <v>90</v>
      </c>
      <c r="AH115" s="2" t="s">
        <v>66</v>
      </c>
      <c r="AI115">
        <v>0</v>
      </c>
      <c r="AJ115" s="3">
        <v>41912.686273148101</v>
      </c>
      <c r="AK115" s="2" t="s">
        <v>1984</v>
      </c>
    </row>
    <row r="116" spans="1:37" x14ac:dyDescent="0.15">
      <c r="A116" s="2" t="s">
        <v>1983</v>
      </c>
      <c r="B116">
        <v>934</v>
      </c>
      <c r="C116" s="3">
        <v>41522</v>
      </c>
      <c r="D116" s="2" t="s">
        <v>37</v>
      </c>
      <c r="E116" s="2" t="s">
        <v>1982</v>
      </c>
      <c r="F116" s="2" t="s">
        <v>38</v>
      </c>
      <c r="G116" s="2" t="s">
        <v>271</v>
      </c>
      <c r="H116" s="2" t="s">
        <v>272</v>
      </c>
      <c r="I116" s="4">
        <v>360000</v>
      </c>
      <c r="J116" s="4">
        <v>0</v>
      </c>
      <c r="K116" s="4">
        <v>0</v>
      </c>
      <c r="L116" s="5"/>
      <c r="M116" s="5">
        <v>3.6</v>
      </c>
      <c r="N116" s="6">
        <v>12960</v>
      </c>
      <c r="O116" s="4">
        <v>12960</v>
      </c>
      <c r="P116" s="4">
        <v>12960</v>
      </c>
      <c r="Q116" s="6">
        <v>0</v>
      </c>
      <c r="R116" s="4">
        <v>251827</v>
      </c>
      <c r="S116" s="4">
        <v>251827</v>
      </c>
      <c r="T116" s="4">
        <v>250827</v>
      </c>
      <c r="U116" s="4">
        <v>250827</v>
      </c>
      <c r="V116" s="6">
        <v>69.674199999999999</v>
      </c>
      <c r="W116" s="4">
        <v>239535.1</v>
      </c>
      <c r="X116" s="4">
        <v>239535.1</v>
      </c>
      <c r="Y116" s="4">
        <v>248097.1</v>
      </c>
      <c r="Z116" s="4">
        <v>248097.1</v>
      </c>
      <c r="AA116" s="4">
        <v>3.4</v>
      </c>
      <c r="AB116" s="6">
        <v>8562.1180000000004</v>
      </c>
      <c r="AC116" s="4">
        <v>8562</v>
      </c>
      <c r="AD116" s="4">
        <v>8562</v>
      </c>
      <c r="AE116" s="6">
        <v>0.11799999999999999</v>
      </c>
      <c r="AF116" s="4">
        <v>0</v>
      </c>
      <c r="AG116" s="7">
        <v>0</v>
      </c>
      <c r="AH116" s="2" t="s">
        <v>37</v>
      </c>
      <c r="AI116">
        <v>0</v>
      </c>
      <c r="AJ116" s="3">
        <v>41912.686273148101</v>
      </c>
      <c r="AK116" s="2" t="s">
        <v>1981</v>
      </c>
    </row>
    <row r="117" spans="1:37" x14ac:dyDescent="0.15">
      <c r="A117" s="2" t="s">
        <v>1980</v>
      </c>
      <c r="B117">
        <v>946</v>
      </c>
      <c r="C117" s="3">
        <v>41532</v>
      </c>
      <c r="D117" s="2" t="s">
        <v>37</v>
      </c>
      <c r="E117" s="2" t="s">
        <v>1979</v>
      </c>
      <c r="F117" s="2" t="s">
        <v>38</v>
      </c>
      <c r="G117" s="2" t="s">
        <v>273</v>
      </c>
      <c r="H117" s="2" t="s">
        <v>274</v>
      </c>
      <c r="I117" s="4">
        <v>26077738.800000001</v>
      </c>
      <c r="J117" s="4">
        <v>0</v>
      </c>
      <c r="K117" s="4">
        <v>0</v>
      </c>
      <c r="L117" s="5"/>
      <c r="M117" s="5">
        <v>3</v>
      </c>
      <c r="N117" s="6">
        <v>782332.16399999999</v>
      </c>
      <c r="O117" s="4">
        <v>6047</v>
      </c>
      <c r="P117" s="4">
        <v>6047</v>
      </c>
      <c r="Q117" s="6">
        <v>776285.16399999999</v>
      </c>
      <c r="R117" s="4">
        <v>0</v>
      </c>
      <c r="S117" s="4">
        <v>0</v>
      </c>
      <c r="T117" s="4">
        <v>0</v>
      </c>
      <c r="U117" s="4">
        <v>0</v>
      </c>
      <c r="V117" s="6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3.56</v>
      </c>
      <c r="AB117" s="6">
        <v>0</v>
      </c>
      <c r="AC117" s="4">
        <v>0</v>
      </c>
      <c r="AD117" s="4">
        <v>0</v>
      </c>
      <c r="AE117" s="6">
        <v>0</v>
      </c>
      <c r="AF117" s="4">
        <v>0</v>
      </c>
      <c r="AG117" s="7">
        <v>180</v>
      </c>
      <c r="AH117" s="2" t="s">
        <v>66</v>
      </c>
      <c r="AI117">
        <v>0</v>
      </c>
      <c r="AJ117" s="3">
        <v>41912.686273148101</v>
      </c>
      <c r="AK117" s="2" t="s">
        <v>1978</v>
      </c>
    </row>
    <row r="118" spans="1:37" x14ac:dyDescent="0.15">
      <c r="A118" s="2" t="s">
        <v>1977</v>
      </c>
      <c r="B118">
        <v>953</v>
      </c>
      <c r="C118" s="3">
        <v>41535</v>
      </c>
      <c r="D118" s="2" t="s">
        <v>37</v>
      </c>
      <c r="E118" s="2" t="s">
        <v>1976</v>
      </c>
      <c r="F118" s="2" t="s">
        <v>38</v>
      </c>
      <c r="G118" s="2" t="s">
        <v>275</v>
      </c>
      <c r="H118" s="2" t="s">
        <v>276</v>
      </c>
      <c r="I118" s="4">
        <v>937580</v>
      </c>
      <c r="J118" s="4">
        <v>0</v>
      </c>
      <c r="K118" s="4">
        <v>0</v>
      </c>
      <c r="L118" s="5"/>
      <c r="M118" s="5">
        <v>3.6</v>
      </c>
      <c r="N118" s="6">
        <v>33752.879999999997</v>
      </c>
      <c r="O118" s="4">
        <v>33753</v>
      </c>
      <c r="P118" s="4">
        <v>33753</v>
      </c>
      <c r="Q118" s="6">
        <v>-0.12</v>
      </c>
      <c r="R118" s="4">
        <v>589567.19999999995</v>
      </c>
      <c r="S118" s="4">
        <v>589567.19999999995</v>
      </c>
      <c r="T118" s="4">
        <v>589567.19999999995</v>
      </c>
      <c r="U118" s="4">
        <v>589567.19999999995</v>
      </c>
      <c r="V118" s="6">
        <v>62.881799999999998</v>
      </c>
      <c r="W118" s="4">
        <v>562960</v>
      </c>
      <c r="X118" s="4">
        <v>562960</v>
      </c>
      <c r="Y118" s="4">
        <v>583005</v>
      </c>
      <c r="Z118" s="4">
        <v>583005</v>
      </c>
      <c r="AA118" s="4">
        <v>3.4</v>
      </c>
      <c r="AB118" s="6">
        <v>20045.284800000001</v>
      </c>
      <c r="AC118" s="4">
        <v>20045</v>
      </c>
      <c r="AD118" s="4">
        <v>20045</v>
      </c>
      <c r="AE118" s="6">
        <v>0.2848</v>
      </c>
      <c r="AF118" s="4">
        <v>0</v>
      </c>
      <c r="AG118" s="7">
        <v>0</v>
      </c>
      <c r="AH118" s="2" t="s">
        <v>37</v>
      </c>
      <c r="AI118">
        <v>0</v>
      </c>
      <c r="AJ118" s="3">
        <v>41912.686273148101</v>
      </c>
      <c r="AK118" s="2" t="s">
        <v>1975</v>
      </c>
    </row>
    <row r="119" spans="1:37" x14ac:dyDescent="0.15">
      <c r="A119" s="2" t="s">
        <v>1974</v>
      </c>
      <c r="B119">
        <v>146</v>
      </c>
      <c r="C119" s="3">
        <v>41548</v>
      </c>
      <c r="D119" s="2" t="s">
        <v>37</v>
      </c>
      <c r="E119" s="2" t="s">
        <v>1973</v>
      </c>
      <c r="F119" s="2" t="s">
        <v>41</v>
      </c>
      <c r="G119" s="2" t="s">
        <v>277</v>
      </c>
      <c r="H119" s="2" t="s">
        <v>278</v>
      </c>
      <c r="I119" s="4">
        <v>4095378.25</v>
      </c>
      <c r="J119" s="4">
        <v>0</v>
      </c>
      <c r="K119" s="4">
        <v>0</v>
      </c>
      <c r="L119" s="5"/>
      <c r="M119" s="5">
        <v>4</v>
      </c>
      <c r="N119" s="6">
        <v>163815.13</v>
      </c>
      <c r="O119" s="4">
        <v>82026.100000000006</v>
      </c>
      <c r="P119" s="4">
        <v>82026.100000000006</v>
      </c>
      <c r="Q119" s="6">
        <v>81789.03</v>
      </c>
      <c r="R119" s="4">
        <v>0</v>
      </c>
      <c r="S119" s="4">
        <v>0</v>
      </c>
      <c r="T119" s="4">
        <v>2950877.69</v>
      </c>
      <c r="U119" s="4">
        <v>2950877.69</v>
      </c>
      <c r="V119" s="6">
        <v>72.053799999999995</v>
      </c>
      <c r="W119" s="4">
        <v>0</v>
      </c>
      <c r="X119" s="4">
        <v>0</v>
      </c>
      <c r="Y119" s="4">
        <v>2211953.5</v>
      </c>
      <c r="Z119" s="4">
        <v>2211953.5</v>
      </c>
      <c r="AA119" s="4"/>
      <c r="AB119" s="6">
        <v>148512</v>
      </c>
      <c r="AC119" s="4">
        <v>78290.92</v>
      </c>
      <c r="AD119" s="4">
        <v>78290.92</v>
      </c>
      <c r="AE119" s="6">
        <v>70221.08</v>
      </c>
      <c r="AF119" s="4">
        <v>-322921</v>
      </c>
      <c r="AG119" s="7">
        <v>0</v>
      </c>
      <c r="AH119" s="2" t="s">
        <v>37</v>
      </c>
      <c r="AI119">
        <v>0</v>
      </c>
      <c r="AJ119" s="3">
        <v>41912.6862384259</v>
      </c>
      <c r="AK119" s="2" t="s">
        <v>1972</v>
      </c>
    </row>
    <row r="120" spans="1:37" x14ac:dyDescent="0.15">
      <c r="A120" s="2" t="s">
        <v>1971</v>
      </c>
      <c r="B120">
        <v>987</v>
      </c>
      <c r="C120" s="3">
        <v>41552</v>
      </c>
      <c r="D120" s="2" t="s">
        <v>37</v>
      </c>
      <c r="E120" s="2" t="s">
        <v>1970</v>
      </c>
      <c r="F120" s="2" t="s">
        <v>38</v>
      </c>
      <c r="G120" s="2" t="s">
        <v>279</v>
      </c>
      <c r="H120" s="2" t="s">
        <v>280</v>
      </c>
      <c r="I120" s="4">
        <v>14920000</v>
      </c>
      <c r="J120" s="4">
        <v>53188404.710000001</v>
      </c>
      <c r="K120" s="4">
        <v>53188404.710000001</v>
      </c>
      <c r="L120" s="5"/>
      <c r="M120" s="5">
        <v>2.5</v>
      </c>
      <c r="N120" s="6">
        <v>1702710.1177999999</v>
      </c>
      <c r="O120" s="4">
        <v>1103347</v>
      </c>
      <c r="P120" s="4">
        <v>1103347</v>
      </c>
      <c r="Q120" s="6">
        <v>599363.11780000001</v>
      </c>
      <c r="R120" s="4">
        <v>15000000</v>
      </c>
      <c r="S120" s="4">
        <v>15000000</v>
      </c>
      <c r="T120" s="4">
        <v>14978500</v>
      </c>
      <c r="U120" s="4">
        <v>14978500</v>
      </c>
      <c r="V120" s="6">
        <v>21.992100000000001</v>
      </c>
      <c r="W120" s="4">
        <v>11787002.560000001</v>
      </c>
      <c r="X120" s="4">
        <v>11787002.560000001</v>
      </c>
      <c r="Y120" s="4">
        <v>12097000.560000001</v>
      </c>
      <c r="Z120" s="4">
        <v>12097000.560000001</v>
      </c>
      <c r="AA120" s="4">
        <v>3.4</v>
      </c>
      <c r="AB120" s="6">
        <v>510000</v>
      </c>
      <c r="AC120" s="4">
        <v>510000</v>
      </c>
      <c r="AD120" s="4">
        <v>510000</v>
      </c>
      <c r="AE120" s="6">
        <v>0</v>
      </c>
      <c r="AF120" s="4">
        <v>0</v>
      </c>
      <c r="AG120" s="7">
        <v>210</v>
      </c>
      <c r="AH120" s="2" t="s">
        <v>66</v>
      </c>
      <c r="AI120">
        <v>0</v>
      </c>
      <c r="AJ120" s="3">
        <v>41912.686273148101</v>
      </c>
      <c r="AK120" s="2" t="s">
        <v>1969</v>
      </c>
    </row>
    <row r="121" spans="1:37" x14ac:dyDescent="0.15">
      <c r="A121" s="2" t="s">
        <v>1968</v>
      </c>
      <c r="B121">
        <v>961</v>
      </c>
      <c r="C121" s="3">
        <v>41557</v>
      </c>
      <c r="D121" s="2" t="s">
        <v>37</v>
      </c>
      <c r="E121" s="2" t="s">
        <v>1967</v>
      </c>
      <c r="F121" s="2" t="s">
        <v>38</v>
      </c>
      <c r="G121" s="2" t="s">
        <v>281</v>
      </c>
      <c r="H121" s="2" t="s">
        <v>282</v>
      </c>
      <c r="I121" s="4">
        <v>7763574.6600000001</v>
      </c>
      <c r="J121" s="4">
        <v>0</v>
      </c>
      <c r="K121" s="4">
        <v>0</v>
      </c>
      <c r="L121" s="5"/>
      <c r="M121" s="5">
        <v>3</v>
      </c>
      <c r="N121" s="6">
        <v>232907.23980000001</v>
      </c>
      <c r="O121" s="4">
        <v>92979</v>
      </c>
      <c r="P121" s="4">
        <v>92979</v>
      </c>
      <c r="Q121" s="6">
        <v>139928.23980000001</v>
      </c>
      <c r="R121" s="4">
        <v>4906233</v>
      </c>
      <c r="S121" s="4">
        <v>4906233</v>
      </c>
      <c r="T121" s="4">
        <v>3423677</v>
      </c>
      <c r="U121" s="4">
        <v>3423677</v>
      </c>
      <c r="V121" s="6">
        <v>44.099200000000003</v>
      </c>
      <c r="W121" s="4">
        <v>3263646.19</v>
      </c>
      <c r="X121" s="4">
        <v>3263646.19</v>
      </c>
      <c r="Y121" s="4">
        <v>3414292.42</v>
      </c>
      <c r="Z121" s="4">
        <v>3414292.42</v>
      </c>
      <c r="AA121" s="4">
        <v>3.4</v>
      </c>
      <c r="AB121" s="6">
        <v>166811.92199999999</v>
      </c>
      <c r="AC121" s="4">
        <v>87101</v>
      </c>
      <c r="AD121" s="4">
        <v>87101</v>
      </c>
      <c r="AE121" s="6">
        <v>79710.922000000006</v>
      </c>
      <c r="AF121" s="4">
        <v>0</v>
      </c>
      <c r="AG121" s="7">
        <v>100</v>
      </c>
      <c r="AH121" s="2" t="s">
        <v>97</v>
      </c>
      <c r="AI121">
        <v>0</v>
      </c>
      <c r="AJ121" s="3">
        <v>41912.686273148101</v>
      </c>
      <c r="AK121" s="2" t="s">
        <v>1966</v>
      </c>
    </row>
    <row r="122" spans="1:37" x14ac:dyDescent="0.15">
      <c r="A122" s="2" t="s">
        <v>1965</v>
      </c>
      <c r="B122">
        <v>969</v>
      </c>
      <c r="C122" s="3">
        <v>41562</v>
      </c>
      <c r="D122" s="2" t="s">
        <v>37</v>
      </c>
      <c r="E122" s="2" t="s">
        <v>1964</v>
      </c>
      <c r="F122" s="2" t="s">
        <v>38</v>
      </c>
      <c r="G122" s="2" t="s">
        <v>283</v>
      </c>
      <c r="H122" s="2" t="s">
        <v>284</v>
      </c>
      <c r="I122" s="4">
        <v>11700792.689999999</v>
      </c>
      <c r="J122" s="4">
        <v>0</v>
      </c>
      <c r="K122" s="4">
        <v>0</v>
      </c>
      <c r="L122" s="5"/>
      <c r="M122" s="5">
        <v>3</v>
      </c>
      <c r="N122" s="6">
        <v>351023.7807</v>
      </c>
      <c r="O122" s="4">
        <v>351024</v>
      </c>
      <c r="P122" s="4">
        <v>351024</v>
      </c>
      <c r="Q122" s="6">
        <v>-0.21929999999999999</v>
      </c>
      <c r="R122" s="4">
        <v>5874521</v>
      </c>
      <c r="S122" s="4">
        <v>5874521</v>
      </c>
      <c r="T122" s="4">
        <v>5874521</v>
      </c>
      <c r="U122" s="4">
        <v>5874521</v>
      </c>
      <c r="V122" s="6">
        <v>50.206200000000003</v>
      </c>
      <c r="W122" s="4">
        <v>5402150.1299999999</v>
      </c>
      <c r="X122" s="4">
        <v>5402150.1299999999</v>
      </c>
      <c r="Y122" s="4">
        <v>5800083.1299999999</v>
      </c>
      <c r="Z122" s="4">
        <v>5800083.1299999999</v>
      </c>
      <c r="AA122" s="4">
        <v>3.4</v>
      </c>
      <c r="AB122" s="6">
        <v>199733.71400000001</v>
      </c>
      <c r="AC122" s="4">
        <v>199733</v>
      </c>
      <c r="AD122" s="4">
        <v>199733</v>
      </c>
      <c r="AE122" s="6">
        <v>0.71399999999999997</v>
      </c>
      <c r="AF122" s="4">
        <v>0</v>
      </c>
      <c r="AG122" s="7">
        <v>85</v>
      </c>
      <c r="AH122" s="2" t="s">
        <v>66</v>
      </c>
      <c r="AI122">
        <v>0</v>
      </c>
      <c r="AJ122" s="3">
        <v>41912.686273148101</v>
      </c>
      <c r="AK122" s="2" t="s">
        <v>1963</v>
      </c>
    </row>
    <row r="123" spans="1:37" x14ac:dyDescent="0.15">
      <c r="A123" s="2" t="s">
        <v>1962</v>
      </c>
      <c r="B123">
        <v>994</v>
      </c>
      <c r="C123" s="3">
        <v>41562</v>
      </c>
      <c r="D123" s="2" t="s">
        <v>37</v>
      </c>
      <c r="E123" s="2" t="s">
        <v>1961</v>
      </c>
      <c r="F123" s="2" t="s">
        <v>38</v>
      </c>
      <c r="G123" s="2" t="s">
        <v>285</v>
      </c>
      <c r="H123" s="2" t="s">
        <v>286</v>
      </c>
      <c r="I123" s="4">
        <v>126591039.39</v>
      </c>
      <c r="J123" s="4">
        <v>0</v>
      </c>
      <c r="K123" s="4">
        <v>0</v>
      </c>
      <c r="L123" s="5"/>
      <c r="M123" s="5">
        <v>2</v>
      </c>
      <c r="N123" s="6">
        <v>2531820.7878</v>
      </c>
      <c r="O123" s="4">
        <v>2317283.86</v>
      </c>
      <c r="P123" s="4">
        <v>2317283.86</v>
      </c>
      <c r="Q123" s="6">
        <v>214536.9278</v>
      </c>
      <c r="R123" s="4">
        <v>43167474.460000001</v>
      </c>
      <c r="S123" s="4">
        <v>43167474.460000001</v>
      </c>
      <c r="T123" s="4">
        <v>43167473.979999997</v>
      </c>
      <c r="U123" s="4">
        <v>43167473.979999997</v>
      </c>
      <c r="V123" s="6">
        <v>34.099899999999998</v>
      </c>
      <c r="W123" s="4">
        <v>36009565.640000001</v>
      </c>
      <c r="X123" s="4">
        <v>36009565.640000001</v>
      </c>
      <c r="Y123" s="4">
        <v>40907590.869999997</v>
      </c>
      <c r="Z123" s="4">
        <v>40907590.869999997</v>
      </c>
      <c r="AA123" s="4">
        <v>3.36</v>
      </c>
      <c r="AB123" s="6">
        <v>1450427.1418999999</v>
      </c>
      <c r="AC123" s="4">
        <v>0</v>
      </c>
      <c r="AD123" s="4">
        <v>0</v>
      </c>
      <c r="AE123" s="6">
        <v>1450427.1418999999</v>
      </c>
      <c r="AF123" s="4">
        <v>0</v>
      </c>
      <c r="AG123" s="7">
        <v>530</v>
      </c>
      <c r="AH123" s="2" t="s">
        <v>66</v>
      </c>
      <c r="AI123">
        <v>0</v>
      </c>
      <c r="AJ123" s="3">
        <v>41912.686273148101</v>
      </c>
      <c r="AK123" s="2" t="s">
        <v>1960</v>
      </c>
    </row>
    <row r="124" spans="1:37" x14ac:dyDescent="0.15">
      <c r="A124" s="2" t="s">
        <v>1959</v>
      </c>
      <c r="B124">
        <v>1001</v>
      </c>
      <c r="C124" s="3">
        <v>41565</v>
      </c>
      <c r="D124" s="2" t="s">
        <v>37</v>
      </c>
      <c r="E124" s="2" t="s">
        <v>1958</v>
      </c>
      <c r="F124" s="2" t="s">
        <v>38</v>
      </c>
      <c r="G124" s="2" t="s">
        <v>287</v>
      </c>
      <c r="H124" s="2" t="s">
        <v>288</v>
      </c>
      <c r="I124" s="4">
        <v>5992383</v>
      </c>
      <c r="J124" s="4">
        <v>0</v>
      </c>
      <c r="K124" s="4">
        <v>0</v>
      </c>
      <c r="L124" s="5"/>
      <c r="M124" s="5">
        <v>3</v>
      </c>
      <c r="N124" s="6">
        <v>179771.49</v>
      </c>
      <c r="O124" s="4">
        <v>129771</v>
      </c>
      <c r="P124" s="4">
        <v>129771</v>
      </c>
      <c r="Q124" s="6">
        <v>50000.49</v>
      </c>
      <c r="R124" s="4">
        <v>4194668</v>
      </c>
      <c r="S124" s="4">
        <v>4194668</v>
      </c>
      <c r="T124" s="4">
        <v>4194668</v>
      </c>
      <c r="U124" s="4">
        <v>4194668</v>
      </c>
      <c r="V124" s="6">
        <v>70</v>
      </c>
      <c r="W124" s="4">
        <v>3543290</v>
      </c>
      <c r="X124" s="4">
        <v>3543290</v>
      </c>
      <c r="Y124" s="4">
        <v>3845489.24</v>
      </c>
      <c r="Z124" s="4">
        <v>3845489.24</v>
      </c>
      <c r="AA124" s="4">
        <v>3.74</v>
      </c>
      <c r="AB124" s="6">
        <v>156880.58319999999</v>
      </c>
      <c r="AC124" s="4">
        <v>0</v>
      </c>
      <c r="AD124" s="4">
        <v>0</v>
      </c>
      <c r="AE124" s="6">
        <v>156880.58319999999</v>
      </c>
      <c r="AF124" s="4">
        <v>0</v>
      </c>
      <c r="AG124" s="7">
        <v>66</v>
      </c>
      <c r="AH124" s="2" t="s">
        <v>66</v>
      </c>
      <c r="AI124">
        <v>0</v>
      </c>
      <c r="AJ124" s="3">
        <v>41912.686273148101</v>
      </c>
      <c r="AK124" s="2" t="s">
        <v>1957</v>
      </c>
    </row>
    <row r="125" spans="1:37" x14ac:dyDescent="0.15">
      <c r="A125" s="2" t="s">
        <v>1956</v>
      </c>
      <c r="B125">
        <v>978</v>
      </c>
      <c r="C125" s="3">
        <v>41566</v>
      </c>
      <c r="D125" s="2" t="s">
        <v>37</v>
      </c>
      <c r="E125" s="2" t="s">
        <v>1955</v>
      </c>
      <c r="F125" s="2" t="s">
        <v>38</v>
      </c>
      <c r="G125" s="2" t="s">
        <v>289</v>
      </c>
      <c r="H125" s="2" t="s">
        <v>290</v>
      </c>
      <c r="I125" s="4">
        <v>3443591.39</v>
      </c>
      <c r="J125" s="4">
        <v>0</v>
      </c>
      <c r="K125" s="4">
        <v>0</v>
      </c>
      <c r="L125" s="5"/>
      <c r="M125" s="5">
        <v>3.6</v>
      </c>
      <c r="N125" s="6">
        <v>123969.29</v>
      </c>
      <c r="O125" s="4">
        <v>123969</v>
      </c>
      <c r="P125" s="4">
        <v>123969</v>
      </c>
      <c r="Q125" s="6">
        <v>0.28999999999999998</v>
      </c>
      <c r="R125" s="4">
        <v>2421795.42</v>
      </c>
      <c r="S125" s="4">
        <v>2421795.42</v>
      </c>
      <c r="T125" s="4">
        <v>2421795.42</v>
      </c>
      <c r="U125" s="4">
        <v>2421795.42</v>
      </c>
      <c r="V125" s="6">
        <v>70.327600000000004</v>
      </c>
      <c r="W125" s="4">
        <v>2312874.58</v>
      </c>
      <c r="X125" s="4">
        <v>2312874.58</v>
      </c>
      <c r="Y125" s="4">
        <v>2370544.39</v>
      </c>
      <c r="Z125" s="4">
        <v>2370544.39</v>
      </c>
      <c r="AA125" s="4">
        <v>3.4</v>
      </c>
      <c r="AB125" s="6">
        <v>82341.044299999994</v>
      </c>
      <c r="AC125" s="4">
        <v>82341</v>
      </c>
      <c r="AD125" s="4">
        <v>82341</v>
      </c>
      <c r="AE125" s="6">
        <v>4.4299999999999999E-2</v>
      </c>
      <c r="AF125" s="4">
        <v>0</v>
      </c>
      <c r="AG125" s="7">
        <v>52</v>
      </c>
      <c r="AH125" s="2" t="s">
        <v>97</v>
      </c>
      <c r="AI125">
        <v>0</v>
      </c>
      <c r="AJ125" s="3">
        <v>41912.686273148101</v>
      </c>
      <c r="AK125" s="2" t="s">
        <v>1954</v>
      </c>
    </row>
    <row r="126" spans="1:37" x14ac:dyDescent="0.15">
      <c r="A126" s="2" t="s">
        <v>1953</v>
      </c>
      <c r="B126">
        <v>1009</v>
      </c>
      <c r="C126" s="3">
        <v>41579</v>
      </c>
      <c r="D126" s="2" t="s">
        <v>37</v>
      </c>
      <c r="E126" s="2" t="s">
        <v>1952</v>
      </c>
      <c r="F126" s="2" t="s">
        <v>38</v>
      </c>
      <c r="G126" s="2" t="s">
        <v>293</v>
      </c>
      <c r="H126" s="2" t="s">
        <v>294</v>
      </c>
      <c r="I126" s="4">
        <v>3117195.98</v>
      </c>
      <c r="J126" s="4">
        <v>0</v>
      </c>
      <c r="K126" s="4">
        <v>0</v>
      </c>
      <c r="L126" s="5"/>
      <c r="M126" s="5">
        <v>3.6</v>
      </c>
      <c r="N126" s="6">
        <v>112219.05530000001</v>
      </c>
      <c r="O126" s="4">
        <v>112219</v>
      </c>
      <c r="P126" s="4">
        <v>112219</v>
      </c>
      <c r="Q126" s="6">
        <v>5.5300000000000002E-2</v>
      </c>
      <c r="R126" s="4">
        <v>1555000</v>
      </c>
      <c r="S126" s="4">
        <v>1555000</v>
      </c>
      <c r="T126" s="4">
        <v>1520000</v>
      </c>
      <c r="U126" s="4">
        <v>1520000</v>
      </c>
      <c r="V126" s="6">
        <v>48.761800000000001</v>
      </c>
      <c r="W126" s="4">
        <v>1449499.64</v>
      </c>
      <c r="X126" s="4">
        <v>1449499.64</v>
      </c>
      <c r="Y126" s="4">
        <v>1502369.64</v>
      </c>
      <c r="Z126" s="4">
        <v>1502369.64</v>
      </c>
      <c r="AA126" s="4">
        <v>3.4</v>
      </c>
      <c r="AB126" s="6">
        <v>52870</v>
      </c>
      <c r="AC126" s="4">
        <v>52870</v>
      </c>
      <c r="AD126" s="4">
        <v>52870</v>
      </c>
      <c r="AE126" s="6">
        <v>0</v>
      </c>
      <c r="AF126" s="4">
        <v>0</v>
      </c>
      <c r="AG126" s="7">
        <v>35</v>
      </c>
      <c r="AH126" s="2" t="s">
        <v>100</v>
      </c>
      <c r="AI126">
        <v>0</v>
      </c>
      <c r="AJ126" s="3">
        <v>41912.686273148101</v>
      </c>
      <c r="AK126" s="2" t="s">
        <v>1951</v>
      </c>
    </row>
    <row r="127" spans="1:37" x14ac:dyDescent="0.15">
      <c r="A127" s="2" t="s">
        <v>1950</v>
      </c>
      <c r="B127">
        <v>151</v>
      </c>
      <c r="C127" s="3">
        <v>41579</v>
      </c>
      <c r="D127" s="2" t="s">
        <v>37</v>
      </c>
      <c r="E127" s="2" t="s">
        <v>1949</v>
      </c>
      <c r="F127" s="2" t="s">
        <v>41</v>
      </c>
      <c r="G127" s="2" t="s">
        <v>291</v>
      </c>
      <c r="H127" s="2" t="s">
        <v>292</v>
      </c>
      <c r="I127" s="4">
        <v>5489711</v>
      </c>
      <c r="J127" s="4">
        <v>0</v>
      </c>
      <c r="K127" s="4">
        <v>0</v>
      </c>
      <c r="L127" s="5"/>
      <c r="M127" s="5">
        <v>3</v>
      </c>
      <c r="N127" s="6">
        <v>164691.32999999999</v>
      </c>
      <c r="O127" s="4">
        <v>164692</v>
      </c>
      <c r="P127" s="4">
        <v>164692</v>
      </c>
      <c r="Q127" s="6">
        <v>-0.67</v>
      </c>
      <c r="R127" s="4">
        <v>0</v>
      </c>
      <c r="S127" s="4">
        <v>0</v>
      </c>
      <c r="T127" s="4">
        <v>4391768.8</v>
      </c>
      <c r="U127" s="4">
        <v>4391768.8</v>
      </c>
      <c r="V127" s="6">
        <v>80</v>
      </c>
      <c r="W127" s="4">
        <v>0</v>
      </c>
      <c r="X127" s="4">
        <v>0</v>
      </c>
      <c r="Y127" s="4">
        <v>4131953.83</v>
      </c>
      <c r="Z127" s="4">
        <v>4131953.83</v>
      </c>
      <c r="AA127" s="4">
        <v>3.61</v>
      </c>
      <c r="AB127" s="6">
        <v>198178.56709999999</v>
      </c>
      <c r="AC127" s="4">
        <v>158542.85999999999</v>
      </c>
      <c r="AD127" s="4">
        <v>158542.85999999999</v>
      </c>
      <c r="AE127" s="6">
        <v>39635.7071</v>
      </c>
      <c r="AF127" s="4">
        <v>0</v>
      </c>
      <c r="AG127" s="7">
        <v>0</v>
      </c>
      <c r="AH127" s="2" t="s">
        <v>37</v>
      </c>
      <c r="AI127">
        <v>0</v>
      </c>
      <c r="AJ127" s="3">
        <v>41912.6862384259</v>
      </c>
      <c r="AK127" s="2" t="s">
        <v>1948</v>
      </c>
    </row>
    <row r="128" spans="1:37" x14ac:dyDescent="0.15">
      <c r="A128" s="2" t="s">
        <v>1947</v>
      </c>
      <c r="B128">
        <v>1024</v>
      </c>
      <c r="C128" s="3">
        <v>41583</v>
      </c>
      <c r="D128" s="2" t="s">
        <v>37</v>
      </c>
      <c r="E128" s="2" t="s">
        <v>1946</v>
      </c>
      <c r="F128" s="2" t="s">
        <v>38</v>
      </c>
      <c r="G128" s="2" t="s">
        <v>295</v>
      </c>
      <c r="H128" s="2" t="s">
        <v>296</v>
      </c>
      <c r="I128" s="4">
        <v>76467</v>
      </c>
      <c r="J128" s="4">
        <v>479</v>
      </c>
      <c r="K128" s="4">
        <v>479</v>
      </c>
      <c r="L128" s="5"/>
      <c r="M128" s="5">
        <v>3.6</v>
      </c>
      <c r="N128" s="6">
        <v>2770.056</v>
      </c>
      <c r="O128" s="4">
        <v>2753</v>
      </c>
      <c r="P128" s="4">
        <v>2753</v>
      </c>
      <c r="Q128" s="6">
        <v>17.056000000000001</v>
      </c>
      <c r="R128" s="4">
        <v>76946</v>
      </c>
      <c r="S128" s="4">
        <v>76946</v>
      </c>
      <c r="T128" s="4">
        <v>54000</v>
      </c>
      <c r="U128" s="4">
        <v>54000</v>
      </c>
      <c r="V128" s="6">
        <v>70.179100000000005</v>
      </c>
      <c r="W128" s="4">
        <v>50000</v>
      </c>
      <c r="X128" s="4">
        <v>50000</v>
      </c>
      <c r="Y128" s="4">
        <v>52616</v>
      </c>
      <c r="Z128" s="4">
        <v>52616</v>
      </c>
      <c r="AA128" s="4">
        <v>3.4</v>
      </c>
      <c r="AB128" s="6">
        <v>2616.1640000000002</v>
      </c>
      <c r="AC128" s="4">
        <v>2616</v>
      </c>
      <c r="AD128" s="4">
        <v>2616</v>
      </c>
      <c r="AE128" s="6">
        <v>0.16400000000000001</v>
      </c>
      <c r="AF128" s="4">
        <v>0</v>
      </c>
      <c r="AG128" s="7">
        <v>0</v>
      </c>
      <c r="AH128" s="2" t="s">
        <v>37</v>
      </c>
      <c r="AI128">
        <v>0</v>
      </c>
      <c r="AJ128" s="3">
        <v>41912.686273148101</v>
      </c>
      <c r="AK128" s="2" t="s">
        <v>1945</v>
      </c>
    </row>
    <row r="129" spans="1:37" x14ac:dyDescent="0.15">
      <c r="A129" s="2" t="s">
        <v>1944</v>
      </c>
      <c r="B129">
        <v>943</v>
      </c>
      <c r="C129" s="3">
        <v>41588</v>
      </c>
      <c r="D129" s="2" t="s">
        <v>37</v>
      </c>
      <c r="E129" s="2" t="s">
        <v>1943</v>
      </c>
      <c r="F129" s="2" t="s">
        <v>38</v>
      </c>
      <c r="G129" s="2" t="s">
        <v>297</v>
      </c>
      <c r="H129" s="2" t="s">
        <v>298</v>
      </c>
      <c r="I129" s="4">
        <v>20420000</v>
      </c>
      <c r="J129" s="4">
        <v>0</v>
      </c>
      <c r="K129" s="4">
        <v>0</v>
      </c>
      <c r="L129" s="5"/>
      <c r="M129" s="5">
        <v>3</v>
      </c>
      <c r="N129" s="6">
        <v>612600</v>
      </c>
      <c r="O129" s="4">
        <v>612600.5</v>
      </c>
      <c r="P129" s="4">
        <v>612600.5</v>
      </c>
      <c r="Q129" s="6">
        <v>-0.5</v>
      </c>
      <c r="R129" s="4">
        <v>7357840.3600000003</v>
      </c>
      <c r="S129" s="4">
        <v>7357840.3600000003</v>
      </c>
      <c r="T129" s="4">
        <v>7357840.3600000003</v>
      </c>
      <c r="U129" s="4">
        <v>7357840.3600000003</v>
      </c>
      <c r="V129" s="6">
        <v>36.032499999999999</v>
      </c>
      <c r="W129" s="4">
        <v>7006009.7000000002</v>
      </c>
      <c r="X129" s="4">
        <v>7006009.7000000002</v>
      </c>
      <c r="Y129" s="4">
        <v>7150316.3300000001</v>
      </c>
      <c r="Z129" s="4">
        <v>7150316.3300000001</v>
      </c>
      <c r="AA129" s="4">
        <v>3.56</v>
      </c>
      <c r="AB129" s="6">
        <v>261939.11679999999</v>
      </c>
      <c r="AC129" s="4">
        <v>0</v>
      </c>
      <c r="AD129" s="4">
        <v>0</v>
      </c>
      <c r="AE129" s="6">
        <v>261939.11679999999</v>
      </c>
      <c r="AF129" s="4">
        <v>0</v>
      </c>
      <c r="AG129" s="7">
        <v>0</v>
      </c>
      <c r="AH129" s="2" t="s">
        <v>37</v>
      </c>
      <c r="AI129">
        <v>0</v>
      </c>
      <c r="AJ129" s="3">
        <v>41912.686273148101</v>
      </c>
      <c r="AK129" s="2" t="s">
        <v>1942</v>
      </c>
    </row>
    <row r="130" spans="1:37" x14ac:dyDescent="0.15">
      <c r="A130" s="2" t="s">
        <v>1941</v>
      </c>
      <c r="B130">
        <v>1034</v>
      </c>
      <c r="C130" s="3">
        <v>41592</v>
      </c>
      <c r="D130" s="2" t="s">
        <v>37</v>
      </c>
      <c r="E130" s="2" t="s">
        <v>1940</v>
      </c>
      <c r="F130" s="2" t="s">
        <v>38</v>
      </c>
      <c r="G130" s="2" t="s">
        <v>299</v>
      </c>
      <c r="H130" s="2" t="s">
        <v>300</v>
      </c>
      <c r="I130" s="4">
        <v>3058486</v>
      </c>
      <c r="J130" s="4">
        <v>0</v>
      </c>
      <c r="K130" s="4">
        <v>0</v>
      </c>
      <c r="L130" s="5"/>
      <c r="M130" s="5">
        <v>3.6</v>
      </c>
      <c r="N130" s="6">
        <v>110105.496</v>
      </c>
      <c r="O130" s="4">
        <v>110105.36</v>
      </c>
      <c r="P130" s="4">
        <v>110105.36</v>
      </c>
      <c r="Q130" s="6">
        <v>0.13600000000000001</v>
      </c>
      <c r="R130" s="4">
        <v>2140940.2000000002</v>
      </c>
      <c r="S130" s="4">
        <v>2140940.2000000002</v>
      </c>
      <c r="T130" s="4">
        <v>2140940.2000000002</v>
      </c>
      <c r="U130" s="4">
        <v>2140940.2000000002</v>
      </c>
      <c r="V130" s="6">
        <v>70</v>
      </c>
      <c r="W130" s="4">
        <v>1955643.64</v>
      </c>
      <c r="X130" s="4">
        <v>1955643.64</v>
      </c>
      <c r="Y130" s="4">
        <v>2029969.67</v>
      </c>
      <c r="Z130" s="4">
        <v>2029969.67</v>
      </c>
      <c r="AA130" s="4"/>
      <c r="AB130" s="6"/>
      <c r="AC130" s="4">
        <v>0</v>
      </c>
      <c r="AD130" s="4">
        <v>0</v>
      </c>
      <c r="AE130" s="6"/>
      <c r="AF130" s="4">
        <v>0</v>
      </c>
      <c r="AG130" s="7">
        <v>30</v>
      </c>
      <c r="AH130" s="2" t="s">
        <v>66</v>
      </c>
      <c r="AI130">
        <v>0</v>
      </c>
      <c r="AJ130" s="3">
        <v>41912.686273148101</v>
      </c>
      <c r="AK130" s="2" t="s">
        <v>1939</v>
      </c>
    </row>
    <row r="131" spans="1:37" x14ac:dyDescent="0.15">
      <c r="A131" s="2" t="s">
        <v>1938</v>
      </c>
      <c r="B131">
        <v>1036</v>
      </c>
      <c r="C131" s="3">
        <v>41596</v>
      </c>
      <c r="D131" s="2" t="s">
        <v>37</v>
      </c>
      <c r="E131" s="2" t="s">
        <v>1937</v>
      </c>
      <c r="F131" s="2" t="s">
        <v>38</v>
      </c>
      <c r="G131" s="2" t="s">
        <v>301</v>
      </c>
      <c r="H131" s="2" t="s">
        <v>302</v>
      </c>
      <c r="I131" s="4">
        <v>12067070</v>
      </c>
      <c r="J131" s="4">
        <v>0</v>
      </c>
      <c r="K131" s="4">
        <v>0</v>
      </c>
      <c r="L131" s="5"/>
      <c r="M131" s="5">
        <v>3</v>
      </c>
      <c r="N131" s="6">
        <v>362012.1</v>
      </c>
      <c r="O131" s="4">
        <v>0</v>
      </c>
      <c r="P131" s="4">
        <v>0</v>
      </c>
      <c r="Q131" s="6">
        <v>362012.1</v>
      </c>
      <c r="R131" s="4">
        <v>0</v>
      </c>
      <c r="S131" s="4">
        <v>0</v>
      </c>
      <c r="T131" s="4">
        <v>0</v>
      </c>
      <c r="U131" s="4">
        <v>0</v>
      </c>
      <c r="V131" s="6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3.4</v>
      </c>
      <c r="AB131" s="6">
        <v>0</v>
      </c>
      <c r="AC131" s="4">
        <v>0</v>
      </c>
      <c r="AD131" s="4">
        <v>0</v>
      </c>
      <c r="AE131" s="6">
        <v>0</v>
      </c>
      <c r="AF131" s="4">
        <v>0</v>
      </c>
      <c r="AG131" s="7">
        <v>140</v>
      </c>
      <c r="AH131" s="2" t="s">
        <v>303</v>
      </c>
      <c r="AI131">
        <v>0</v>
      </c>
      <c r="AJ131" s="3">
        <v>41912.686273148101</v>
      </c>
      <c r="AK131" s="2" t="s">
        <v>1936</v>
      </c>
    </row>
    <row r="132" spans="1:37" x14ac:dyDescent="0.15">
      <c r="A132" s="2" t="s">
        <v>1935</v>
      </c>
      <c r="B132">
        <v>1016</v>
      </c>
      <c r="C132" s="3">
        <v>41599</v>
      </c>
      <c r="D132" s="2" t="s">
        <v>37</v>
      </c>
      <c r="E132" s="2" t="s">
        <v>1934</v>
      </c>
      <c r="F132" s="2" t="s">
        <v>38</v>
      </c>
      <c r="G132" s="2" t="s">
        <v>304</v>
      </c>
      <c r="H132" s="2" t="s">
        <v>305</v>
      </c>
      <c r="I132" s="4">
        <v>5811890</v>
      </c>
      <c r="J132" s="4">
        <v>0</v>
      </c>
      <c r="K132" s="4">
        <v>0</v>
      </c>
      <c r="L132" s="5"/>
      <c r="M132" s="5">
        <v>4</v>
      </c>
      <c r="N132" s="6">
        <v>232475.6</v>
      </c>
      <c r="O132" s="4">
        <v>232476</v>
      </c>
      <c r="P132" s="4">
        <v>232476</v>
      </c>
      <c r="Q132" s="6">
        <v>-0.4</v>
      </c>
      <c r="R132" s="4">
        <v>2200000</v>
      </c>
      <c r="S132" s="4">
        <v>2200000</v>
      </c>
      <c r="T132" s="4">
        <v>2200000</v>
      </c>
      <c r="U132" s="4">
        <v>2200000</v>
      </c>
      <c r="V132" s="6">
        <v>37.853400000000001</v>
      </c>
      <c r="W132" s="4">
        <v>1623974</v>
      </c>
      <c r="X132" s="4">
        <v>1623974</v>
      </c>
      <c r="Y132" s="4">
        <v>1698774</v>
      </c>
      <c r="Z132" s="4">
        <v>1698774</v>
      </c>
      <c r="AA132" s="4">
        <v>3.4</v>
      </c>
      <c r="AB132" s="6">
        <v>74800</v>
      </c>
      <c r="AC132" s="4">
        <v>74800</v>
      </c>
      <c r="AD132" s="4">
        <v>74800</v>
      </c>
      <c r="AE132" s="6">
        <v>0</v>
      </c>
      <c r="AF132" s="4">
        <v>0</v>
      </c>
      <c r="AG132" s="7">
        <v>0</v>
      </c>
      <c r="AH132" s="2" t="s">
        <v>37</v>
      </c>
      <c r="AI132">
        <v>0</v>
      </c>
      <c r="AJ132" s="3">
        <v>41912.686273148101</v>
      </c>
      <c r="AK132" s="2" t="s">
        <v>1933</v>
      </c>
    </row>
    <row r="133" spans="1:37" x14ac:dyDescent="0.15">
      <c r="A133" s="2" t="s">
        <v>1932</v>
      </c>
      <c r="B133">
        <v>168</v>
      </c>
      <c r="C133" s="3">
        <v>41609</v>
      </c>
      <c r="D133" s="2" t="s">
        <v>37</v>
      </c>
      <c r="E133" s="2" t="s">
        <v>1931</v>
      </c>
      <c r="F133" s="2" t="s">
        <v>41</v>
      </c>
      <c r="G133" s="2" t="s">
        <v>318</v>
      </c>
      <c r="H133" s="2" t="s">
        <v>319</v>
      </c>
      <c r="I133" s="4">
        <v>710641.6</v>
      </c>
      <c r="J133" s="4">
        <v>0</v>
      </c>
      <c r="K133" s="4">
        <v>0</v>
      </c>
      <c r="L133" s="5"/>
      <c r="M133" s="5">
        <v>3.6</v>
      </c>
      <c r="N133" s="6">
        <v>25583.097600000001</v>
      </c>
      <c r="O133" s="4">
        <v>25583.1</v>
      </c>
      <c r="P133" s="4">
        <v>25583.1</v>
      </c>
      <c r="Q133" s="6">
        <v>-2.3999999999999998E-3</v>
      </c>
      <c r="R133" s="4">
        <v>0</v>
      </c>
      <c r="S133" s="4">
        <v>0</v>
      </c>
      <c r="T133" s="4">
        <v>0</v>
      </c>
      <c r="U133" s="4">
        <v>0</v>
      </c>
      <c r="V133" s="6">
        <v>0</v>
      </c>
      <c r="W133" s="4">
        <v>0</v>
      </c>
      <c r="X133" s="4">
        <v>0</v>
      </c>
      <c r="Y133" s="4">
        <v>0</v>
      </c>
      <c r="Z133" s="4">
        <v>0</v>
      </c>
      <c r="AA133" s="4"/>
      <c r="AB133" s="6">
        <v>0</v>
      </c>
      <c r="AC133" s="4">
        <v>0</v>
      </c>
      <c r="AD133" s="4">
        <v>0</v>
      </c>
      <c r="AE133" s="6">
        <v>0</v>
      </c>
      <c r="AF133" s="4">
        <v>0</v>
      </c>
      <c r="AG133" s="7">
        <v>0</v>
      </c>
      <c r="AH133" s="2" t="s">
        <v>37</v>
      </c>
      <c r="AI133">
        <v>0</v>
      </c>
      <c r="AJ133" s="3">
        <v>41912.6862384259</v>
      </c>
      <c r="AK133" s="2" t="s">
        <v>1930</v>
      </c>
    </row>
    <row r="134" spans="1:37" x14ac:dyDescent="0.15">
      <c r="A134" s="2" t="s">
        <v>1929</v>
      </c>
      <c r="B134">
        <v>156</v>
      </c>
      <c r="C134" s="3">
        <v>41609</v>
      </c>
      <c r="D134" s="2" t="s">
        <v>37</v>
      </c>
      <c r="E134" s="2" t="s">
        <v>1928</v>
      </c>
      <c r="F134" s="2" t="s">
        <v>41</v>
      </c>
      <c r="G134" s="2" t="s">
        <v>316</v>
      </c>
      <c r="H134" s="2" t="s">
        <v>317</v>
      </c>
      <c r="I134" s="4">
        <v>9753320.8200000003</v>
      </c>
      <c r="J134" s="4">
        <v>0</v>
      </c>
      <c r="K134" s="4">
        <v>0</v>
      </c>
      <c r="L134" s="5"/>
      <c r="M134" s="5">
        <v>3</v>
      </c>
      <c r="N134" s="6">
        <v>292599.62459999998</v>
      </c>
      <c r="O134" s="4">
        <v>271590.55</v>
      </c>
      <c r="P134" s="4">
        <v>271590.55</v>
      </c>
      <c r="Q134" s="6">
        <v>21009.0746</v>
      </c>
      <c r="R134" s="4">
        <v>0</v>
      </c>
      <c r="S134" s="4">
        <v>0</v>
      </c>
      <c r="T134" s="4">
        <v>4983610.42</v>
      </c>
      <c r="U134" s="4">
        <v>4983610.42</v>
      </c>
      <c r="V134" s="6">
        <v>51.096499999999999</v>
      </c>
      <c r="W134" s="4">
        <v>0</v>
      </c>
      <c r="X134" s="4">
        <v>0</v>
      </c>
      <c r="Y134" s="4">
        <v>4727621</v>
      </c>
      <c r="Z134" s="4">
        <v>4727621</v>
      </c>
      <c r="AA134" s="4">
        <v>3.4</v>
      </c>
      <c r="AB134" s="6">
        <v>331612.90789999999</v>
      </c>
      <c r="AC134" s="4">
        <v>169442.69</v>
      </c>
      <c r="AD134" s="4">
        <v>169442.69</v>
      </c>
      <c r="AE134" s="6">
        <v>162170.21789999999</v>
      </c>
      <c r="AF134" s="4">
        <v>0</v>
      </c>
      <c r="AG134" s="7">
        <v>0</v>
      </c>
      <c r="AH134" s="2" t="s">
        <v>37</v>
      </c>
      <c r="AI134">
        <v>0</v>
      </c>
      <c r="AJ134" s="3">
        <v>41912.6862384259</v>
      </c>
      <c r="AK134" s="2" t="s">
        <v>1927</v>
      </c>
    </row>
    <row r="135" spans="1:37" x14ac:dyDescent="0.15">
      <c r="A135" s="2" t="s">
        <v>1926</v>
      </c>
      <c r="B135">
        <v>183</v>
      </c>
      <c r="C135" s="3">
        <v>41609</v>
      </c>
      <c r="D135" s="2" t="s">
        <v>37</v>
      </c>
      <c r="E135" s="2" t="s">
        <v>1925</v>
      </c>
      <c r="F135" s="2" t="s">
        <v>41</v>
      </c>
      <c r="G135" s="2" t="s">
        <v>322</v>
      </c>
      <c r="H135" s="2" t="s">
        <v>323</v>
      </c>
      <c r="I135" s="4">
        <v>1674815</v>
      </c>
      <c r="J135" s="4">
        <v>0</v>
      </c>
      <c r="K135" s="4">
        <v>0</v>
      </c>
      <c r="L135" s="5"/>
      <c r="M135" s="5">
        <v>4</v>
      </c>
      <c r="N135" s="6">
        <v>66992.600000000006</v>
      </c>
      <c r="O135" s="4">
        <v>66993</v>
      </c>
      <c r="P135" s="4">
        <v>66993</v>
      </c>
      <c r="Q135" s="6">
        <v>-0.4</v>
      </c>
      <c r="R135" s="4">
        <v>0</v>
      </c>
      <c r="S135" s="4">
        <v>0</v>
      </c>
      <c r="T135" s="4">
        <v>1300000</v>
      </c>
      <c r="U135" s="4">
        <v>1300000</v>
      </c>
      <c r="V135" s="6">
        <v>77.620500000000007</v>
      </c>
      <c r="W135" s="4">
        <v>0</v>
      </c>
      <c r="X135" s="4">
        <v>0</v>
      </c>
      <c r="Y135" s="4">
        <v>1233232.5</v>
      </c>
      <c r="Z135" s="4">
        <v>1233232.5</v>
      </c>
      <c r="AA135" s="4">
        <v>3.66</v>
      </c>
      <c r="AB135" s="6">
        <v>61298.228999999999</v>
      </c>
      <c r="AC135" s="4">
        <v>61298.23</v>
      </c>
      <c r="AD135" s="4">
        <v>61298.23</v>
      </c>
      <c r="AE135" s="6">
        <v>-1E-3</v>
      </c>
      <c r="AF135" s="4">
        <v>0</v>
      </c>
      <c r="AG135" s="7">
        <v>0</v>
      </c>
      <c r="AH135" s="2" t="s">
        <v>37</v>
      </c>
      <c r="AI135">
        <v>0</v>
      </c>
      <c r="AJ135" s="3">
        <v>41912.6862384259</v>
      </c>
      <c r="AK135" s="2" t="s">
        <v>1924</v>
      </c>
    </row>
    <row r="136" spans="1:37" x14ac:dyDescent="0.15">
      <c r="A136" s="2" t="s">
        <v>1923</v>
      </c>
      <c r="B136">
        <v>197</v>
      </c>
      <c r="C136" s="3">
        <v>41609</v>
      </c>
      <c r="D136" s="2" t="s">
        <v>37</v>
      </c>
      <c r="E136" s="2" t="s">
        <v>1922</v>
      </c>
      <c r="F136" s="2" t="s">
        <v>41</v>
      </c>
      <c r="G136" s="2" t="s">
        <v>320</v>
      </c>
      <c r="H136" s="2" t="s">
        <v>321</v>
      </c>
      <c r="I136" s="4">
        <v>3480350</v>
      </c>
      <c r="J136" s="4">
        <v>0</v>
      </c>
      <c r="K136" s="4">
        <v>0</v>
      </c>
      <c r="L136" s="5"/>
      <c r="M136" s="5">
        <v>3.6</v>
      </c>
      <c r="N136" s="6">
        <v>125292.6</v>
      </c>
      <c r="O136" s="4">
        <v>125292.6</v>
      </c>
      <c r="P136" s="4">
        <v>125292.6</v>
      </c>
      <c r="Q136" s="6">
        <v>0</v>
      </c>
      <c r="R136" s="4">
        <v>0</v>
      </c>
      <c r="S136" s="4">
        <v>0</v>
      </c>
      <c r="T136" s="4">
        <v>1563875.12</v>
      </c>
      <c r="U136" s="4">
        <v>1563875.12</v>
      </c>
      <c r="V136" s="6">
        <v>44.934399999999997</v>
      </c>
      <c r="W136" s="4">
        <v>0</v>
      </c>
      <c r="X136" s="4">
        <v>0</v>
      </c>
      <c r="Y136" s="4">
        <v>1596613.91</v>
      </c>
      <c r="Z136" s="4">
        <v>1596613.91</v>
      </c>
      <c r="AA136" s="4">
        <v>3.4</v>
      </c>
      <c r="AB136" s="6">
        <v>118331.9</v>
      </c>
      <c r="AC136" s="4">
        <v>51187.45</v>
      </c>
      <c r="AD136" s="4">
        <v>51187.45</v>
      </c>
      <c r="AE136" s="6">
        <v>67144.45</v>
      </c>
      <c r="AF136" s="4">
        <v>0</v>
      </c>
      <c r="AG136" s="7">
        <v>0</v>
      </c>
      <c r="AH136" s="2" t="s">
        <v>37</v>
      </c>
      <c r="AI136">
        <v>0</v>
      </c>
      <c r="AJ136" s="3">
        <v>41912.6862384259</v>
      </c>
      <c r="AK136" s="2" t="s">
        <v>1921</v>
      </c>
    </row>
    <row r="137" spans="1:37" x14ac:dyDescent="0.15">
      <c r="A137" s="2" t="s">
        <v>1920</v>
      </c>
      <c r="B137">
        <v>1043</v>
      </c>
      <c r="C137" s="3">
        <v>41609</v>
      </c>
      <c r="D137" s="2" t="s">
        <v>37</v>
      </c>
      <c r="E137" s="2" t="s">
        <v>1919</v>
      </c>
      <c r="F137" s="2" t="s">
        <v>38</v>
      </c>
      <c r="G137" s="2" t="s">
        <v>312</v>
      </c>
      <c r="H137" s="2" t="s">
        <v>313</v>
      </c>
      <c r="I137" s="4">
        <v>11000000</v>
      </c>
      <c r="J137" s="4">
        <v>0</v>
      </c>
      <c r="K137" s="4">
        <v>0</v>
      </c>
      <c r="L137" s="5"/>
      <c r="M137" s="5">
        <v>3</v>
      </c>
      <c r="N137" s="6">
        <v>330000</v>
      </c>
      <c r="O137" s="4">
        <v>330000</v>
      </c>
      <c r="P137" s="4">
        <v>330000</v>
      </c>
      <c r="Q137" s="6">
        <v>0</v>
      </c>
      <c r="R137" s="4">
        <v>5500000</v>
      </c>
      <c r="S137" s="4">
        <v>5500000</v>
      </c>
      <c r="T137" s="4">
        <v>5000000</v>
      </c>
      <c r="U137" s="4">
        <v>5000000</v>
      </c>
      <c r="V137" s="6">
        <v>45.454500000000003</v>
      </c>
      <c r="W137" s="4">
        <v>4680000</v>
      </c>
      <c r="X137" s="4">
        <v>4680000</v>
      </c>
      <c r="Y137" s="4">
        <v>4916450</v>
      </c>
      <c r="Z137" s="4">
        <v>4916450</v>
      </c>
      <c r="AA137" s="4"/>
      <c r="AB137" s="6"/>
      <c r="AC137" s="4">
        <v>0</v>
      </c>
      <c r="AD137" s="4">
        <v>0</v>
      </c>
      <c r="AE137" s="6"/>
      <c r="AF137" s="4">
        <v>0</v>
      </c>
      <c r="AG137" s="7">
        <v>120</v>
      </c>
      <c r="AH137" s="2" t="s">
        <v>159</v>
      </c>
      <c r="AI137">
        <v>0</v>
      </c>
      <c r="AJ137" s="3">
        <v>41912.6862847222</v>
      </c>
      <c r="AK137" s="2" t="s">
        <v>1918</v>
      </c>
    </row>
    <row r="138" spans="1:37" x14ac:dyDescent="0.15">
      <c r="A138" s="2" t="s">
        <v>1917</v>
      </c>
      <c r="B138">
        <v>211</v>
      </c>
      <c r="C138" s="3">
        <v>41609</v>
      </c>
      <c r="D138" s="2" t="s">
        <v>37</v>
      </c>
      <c r="E138" s="2" t="s">
        <v>1916</v>
      </c>
      <c r="F138" s="2" t="s">
        <v>41</v>
      </c>
      <c r="G138" s="2" t="s">
        <v>326</v>
      </c>
      <c r="H138" s="2" t="s">
        <v>327</v>
      </c>
      <c r="I138" s="4">
        <v>600000</v>
      </c>
      <c r="J138" s="4">
        <v>0</v>
      </c>
      <c r="K138" s="4">
        <v>0</v>
      </c>
      <c r="L138" s="5"/>
      <c r="M138" s="5">
        <v>8.6</v>
      </c>
      <c r="N138" s="6">
        <v>51600</v>
      </c>
      <c r="O138" s="4">
        <v>25800</v>
      </c>
      <c r="P138" s="4">
        <v>25800</v>
      </c>
      <c r="Q138" s="6">
        <v>25800</v>
      </c>
      <c r="R138" s="4">
        <v>0</v>
      </c>
      <c r="S138" s="4">
        <v>0</v>
      </c>
      <c r="T138" s="4">
        <v>120000</v>
      </c>
      <c r="U138" s="4">
        <v>120000</v>
      </c>
      <c r="V138" s="6">
        <v>20</v>
      </c>
      <c r="W138" s="4">
        <v>0</v>
      </c>
      <c r="X138" s="4">
        <v>0</v>
      </c>
      <c r="Y138" s="4">
        <v>120000</v>
      </c>
      <c r="Z138" s="4">
        <v>120000</v>
      </c>
      <c r="AA138" s="4">
        <v>3.4</v>
      </c>
      <c r="AB138" s="6">
        <v>20400</v>
      </c>
      <c r="AC138" s="4">
        <v>4080</v>
      </c>
      <c r="AD138" s="4">
        <v>4080</v>
      </c>
      <c r="AE138" s="6">
        <v>16320</v>
      </c>
      <c r="AF138" s="4">
        <v>0</v>
      </c>
      <c r="AG138" s="7">
        <v>0</v>
      </c>
      <c r="AH138" s="2" t="s">
        <v>37</v>
      </c>
      <c r="AI138">
        <v>0</v>
      </c>
      <c r="AJ138" s="3">
        <v>41912.6862384259</v>
      </c>
      <c r="AK138" s="2" t="s">
        <v>1915</v>
      </c>
    </row>
    <row r="139" spans="1:37" x14ac:dyDescent="0.15">
      <c r="A139" s="2" t="s">
        <v>1914</v>
      </c>
      <c r="B139">
        <v>173</v>
      </c>
      <c r="C139" s="3">
        <v>41609</v>
      </c>
      <c r="D139" s="2" t="s">
        <v>37</v>
      </c>
      <c r="E139" s="2" t="s">
        <v>1913</v>
      </c>
      <c r="F139" s="2" t="s">
        <v>41</v>
      </c>
      <c r="G139" s="2" t="s">
        <v>330</v>
      </c>
      <c r="H139" s="2" t="s">
        <v>331</v>
      </c>
      <c r="I139" s="4">
        <v>4036583.48</v>
      </c>
      <c r="J139" s="4">
        <v>0</v>
      </c>
      <c r="K139" s="4">
        <v>0</v>
      </c>
      <c r="L139" s="5"/>
      <c r="M139" s="5">
        <v>3.6</v>
      </c>
      <c r="N139" s="6">
        <v>145317.00529999999</v>
      </c>
      <c r="O139" s="4">
        <v>145317</v>
      </c>
      <c r="P139" s="4">
        <v>145317</v>
      </c>
      <c r="Q139" s="6">
        <v>5.3E-3</v>
      </c>
      <c r="R139" s="4">
        <v>0</v>
      </c>
      <c r="S139" s="4">
        <v>0</v>
      </c>
      <c r="T139" s="4">
        <v>3478419.92</v>
      </c>
      <c r="U139" s="4">
        <v>3478419.92</v>
      </c>
      <c r="V139" s="6">
        <v>86.172399999999996</v>
      </c>
      <c r="W139" s="4">
        <v>0</v>
      </c>
      <c r="X139" s="4">
        <v>0</v>
      </c>
      <c r="Y139" s="4">
        <v>3359296.75</v>
      </c>
      <c r="Z139" s="4">
        <v>3359296.75</v>
      </c>
      <c r="AA139" s="4">
        <v>3.4</v>
      </c>
      <c r="AB139" s="6">
        <v>137243.8383</v>
      </c>
      <c r="AC139" s="4">
        <v>118235.4</v>
      </c>
      <c r="AD139" s="4">
        <v>118235.4</v>
      </c>
      <c r="AE139" s="6">
        <v>19008.438300000002</v>
      </c>
      <c r="AF139" s="4">
        <v>0</v>
      </c>
      <c r="AG139" s="7">
        <v>0</v>
      </c>
      <c r="AH139" s="2" t="s">
        <v>37</v>
      </c>
      <c r="AI139">
        <v>0</v>
      </c>
      <c r="AJ139" s="3">
        <v>41912.6862384259</v>
      </c>
      <c r="AK139" s="2" t="s">
        <v>1912</v>
      </c>
    </row>
    <row r="140" spans="1:37" x14ac:dyDescent="0.15">
      <c r="A140" s="2" t="s">
        <v>1911</v>
      </c>
      <c r="B140">
        <v>161</v>
      </c>
      <c r="C140" s="3">
        <v>41609</v>
      </c>
      <c r="D140" s="2" t="s">
        <v>37</v>
      </c>
      <c r="E140" s="2" t="s">
        <v>1910</v>
      </c>
      <c r="F140" s="2" t="s">
        <v>41</v>
      </c>
      <c r="G140" s="2" t="s">
        <v>328</v>
      </c>
      <c r="H140" s="2" t="s">
        <v>329</v>
      </c>
      <c r="I140" s="4">
        <v>449812</v>
      </c>
      <c r="J140" s="4">
        <v>0</v>
      </c>
      <c r="K140" s="4">
        <v>0</v>
      </c>
      <c r="L140" s="5"/>
      <c r="M140" s="5">
        <v>4</v>
      </c>
      <c r="N140" s="6">
        <v>17992.48</v>
      </c>
      <c r="O140" s="4">
        <v>17992.48</v>
      </c>
      <c r="P140" s="4">
        <v>17992.48</v>
      </c>
      <c r="Q140" s="6">
        <v>0</v>
      </c>
      <c r="R140" s="4">
        <v>0</v>
      </c>
      <c r="S140" s="4">
        <v>0</v>
      </c>
      <c r="T140" s="4">
        <v>370600</v>
      </c>
      <c r="U140" s="4">
        <v>370600</v>
      </c>
      <c r="V140" s="6">
        <v>82.39</v>
      </c>
      <c r="W140" s="4">
        <v>0</v>
      </c>
      <c r="X140" s="4">
        <v>0</v>
      </c>
      <c r="Y140" s="4">
        <v>365664.6</v>
      </c>
      <c r="Z140" s="4">
        <v>365664.6</v>
      </c>
      <c r="AA140" s="4">
        <v>3.4</v>
      </c>
      <c r="AB140" s="6">
        <v>15293.608</v>
      </c>
      <c r="AC140" s="4">
        <v>12580</v>
      </c>
      <c r="AD140" s="4">
        <v>12580</v>
      </c>
      <c r="AE140" s="6">
        <v>2713.6080000000002</v>
      </c>
      <c r="AF140" s="4">
        <v>0</v>
      </c>
      <c r="AG140" s="7">
        <v>0</v>
      </c>
      <c r="AH140" s="2" t="s">
        <v>37</v>
      </c>
      <c r="AI140">
        <v>0</v>
      </c>
      <c r="AJ140" s="3">
        <v>41912.6862384259</v>
      </c>
      <c r="AK140" s="2" t="s">
        <v>1909</v>
      </c>
    </row>
    <row r="141" spans="1:37" x14ac:dyDescent="0.15">
      <c r="A141" s="2" t="s">
        <v>1908</v>
      </c>
      <c r="B141">
        <v>187</v>
      </c>
      <c r="C141" s="3">
        <v>41609</v>
      </c>
      <c r="D141" s="2" t="s">
        <v>37</v>
      </c>
      <c r="E141" s="2" t="s">
        <v>1907</v>
      </c>
      <c r="F141" s="2" t="s">
        <v>41</v>
      </c>
      <c r="G141" s="2" t="s">
        <v>334</v>
      </c>
      <c r="H141" s="2" t="s">
        <v>335</v>
      </c>
      <c r="I141" s="4">
        <v>260000</v>
      </c>
      <c r="J141" s="4">
        <v>0</v>
      </c>
      <c r="K141" s="4">
        <v>0</v>
      </c>
      <c r="L141" s="5"/>
      <c r="M141" s="5">
        <v>8.6</v>
      </c>
      <c r="N141" s="6">
        <v>22360</v>
      </c>
      <c r="O141" s="4">
        <v>22360</v>
      </c>
      <c r="P141" s="4">
        <v>22360</v>
      </c>
      <c r="Q141" s="6">
        <v>0</v>
      </c>
      <c r="R141" s="4">
        <v>0</v>
      </c>
      <c r="S141" s="4">
        <v>0</v>
      </c>
      <c r="T141" s="4">
        <v>182000</v>
      </c>
      <c r="U141" s="4">
        <v>182000</v>
      </c>
      <c r="V141" s="6">
        <v>70</v>
      </c>
      <c r="W141" s="4">
        <v>0</v>
      </c>
      <c r="X141" s="4">
        <v>0</v>
      </c>
      <c r="Y141" s="4">
        <v>182000</v>
      </c>
      <c r="Z141" s="4">
        <v>182000</v>
      </c>
      <c r="AA141" s="4">
        <v>3.4</v>
      </c>
      <c r="AB141" s="6">
        <v>8840</v>
      </c>
      <c r="AC141" s="4">
        <v>0</v>
      </c>
      <c r="AD141" s="4">
        <v>0</v>
      </c>
      <c r="AE141" s="6">
        <v>8840</v>
      </c>
      <c r="AF141" s="4">
        <v>0</v>
      </c>
      <c r="AG141" s="7">
        <v>0</v>
      </c>
      <c r="AH141" s="2" t="s">
        <v>37</v>
      </c>
      <c r="AI141">
        <v>0</v>
      </c>
      <c r="AJ141" s="3">
        <v>41912.6862384259</v>
      </c>
      <c r="AK141" s="2" t="s">
        <v>1906</v>
      </c>
    </row>
    <row r="142" spans="1:37" x14ac:dyDescent="0.15">
      <c r="A142" s="2" t="s">
        <v>1905</v>
      </c>
      <c r="B142">
        <v>202</v>
      </c>
      <c r="C142" s="3">
        <v>41609</v>
      </c>
      <c r="D142" s="2" t="s">
        <v>37</v>
      </c>
      <c r="E142" s="2" t="s">
        <v>1904</v>
      </c>
      <c r="F142" s="2" t="s">
        <v>41</v>
      </c>
      <c r="G142" s="2" t="s">
        <v>332</v>
      </c>
      <c r="H142" s="2" t="s">
        <v>333</v>
      </c>
      <c r="I142" s="4">
        <v>50000</v>
      </c>
      <c r="J142" s="4">
        <v>0</v>
      </c>
      <c r="K142" s="4">
        <v>0</v>
      </c>
      <c r="L142" s="5"/>
      <c r="M142" s="5">
        <v>8.6</v>
      </c>
      <c r="N142" s="6">
        <v>4300</v>
      </c>
      <c r="O142" s="4">
        <v>4300</v>
      </c>
      <c r="P142" s="4">
        <v>4300</v>
      </c>
      <c r="Q142" s="6">
        <v>0</v>
      </c>
      <c r="R142" s="4">
        <v>0</v>
      </c>
      <c r="S142" s="4">
        <v>0</v>
      </c>
      <c r="T142" s="4">
        <v>40000</v>
      </c>
      <c r="U142" s="4">
        <v>40000</v>
      </c>
      <c r="V142" s="6">
        <v>80</v>
      </c>
      <c r="W142" s="4">
        <v>0</v>
      </c>
      <c r="X142" s="4">
        <v>0</v>
      </c>
      <c r="Y142" s="4">
        <v>40000</v>
      </c>
      <c r="Z142" s="4">
        <v>40000</v>
      </c>
      <c r="AA142" s="4">
        <v>3.4</v>
      </c>
      <c r="AB142" s="6">
        <v>1700</v>
      </c>
      <c r="AC142" s="4">
        <v>1360</v>
      </c>
      <c r="AD142" s="4">
        <v>1360</v>
      </c>
      <c r="AE142" s="6">
        <v>340</v>
      </c>
      <c r="AF142" s="4">
        <v>0</v>
      </c>
      <c r="AG142" s="7">
        <v>0</v>
      </c>
      <c r="AH142" s="2" t="s">
        <v>37</v>
      </c>
      <c r="AI142">
        <v>0</v>
      </c>
      <c r="AJ142" s="3">
        <v>41912.6862384259</v>
      </c>
      <c r="AK142" s="2" t="s">
        <v>1903</v>
      </c>
    </row>
    <row r="143" spans="1:37" x14ac:dyDescent="0.15">
      <c r="A143" s="2" t="s">
        <v>1902</v>
      </c>
      <c r="B143">
        <v>1052</v>
      </c>
      <c r="C143" s="3">
        <v>41609</v>
      </c>
      <c r="D143" s="2" t="s">
        <v>37</v>
      </c>
      <c r="E143" s="2" t="s">
        <v>1901</v>
      </c>
      <c r="F143" s="2" t="s">
        <v>38</v>
      </c>
      <c r="G143" s="2" t="s">
        <v>324</v>
      </c>
      <c r="H143" s="2" t="s">
        <v>325</v>
      </c>
      <c r="I143" s="4">
        <v>924545</v>
      </c>
      <c r="J143" s="4">
        <v>0</v>
      </c>
      <c r="K143" s="4">
        <v>0</v>
      </c>
      <c r="L143" s="5"/>
      <c r="M143" s="5">
        <v>3</v>
      </c>
      <c r="N143" s="6">
        <v>27736.35</v>
      </c>
      <c r="O143" s="4">
        <v>2200</v>
      </c>
      <c r="P143" s="4">
        <v>2200</v>
      </c>
      <c r="Q143" s="6">
        <v>25536.35</v>
      </c>
      <c r="R143" s="4">
        <v>300000</v>
      </c>
      <c r="S143" s="4">
        <v>300000</v>
      </c>
      <c r="T143" s="4">
        <v>300000</v>
      </c>
      <c r="U143" s="4">
        <v>300000</v>
      </c>
      <c r="V143" s="6">
        <v>32.448399999999999</v>
      </c>
      <c r="W143" s="4">
        <v>202490</v>
      </c>
      <c r="X143" s="4">
        <v>202490</v>
      </c>
      <c r="Y143" s="4">
        <v>221812.49</v>
      </c>
      <c r="Z143" s="4">
        <v>221812.49</v>
      </c>
      <c r="AA143" s="4">
        <v>3.4</v>
      </c>
      <c r="AB143" s="6">
        <v>10200</v>
      </c>
      <c r="AC143" s="4">
        <v>10200</v>
      </c>
      <c r="AD143" s="4">
        <v>10200</v>
      </c>
      <c r="AE143" s="6">
        <v>0</v>
      </c>
      <c r="AF143" s="4">
        <v>0</v>
      </c>
      <c r="AG143" s="7">
        <v>7</v>
      </c>
      <c r="AH143" s="2" t="s">
        <v>52</v>
      </c>
      <c r="AI143">
        <v>0</v>
      </c>
      <c r="AJ143" s="3">
        <v>41912.6862847222</v>
      </c>
      <c r="AK143" s="2" t="s">
        <v>1900</v>
      </c>
    </row>
    <row r="144" spans="1:37" x14ac:dyDescent="0.15">
      <c r="A144" s="2" t="s">
        <v>1899</v>
      </c>
      <c r="B144">
        <v>166</v>
      </c>
      <c r="C144" s="3">
        <v>41609</v>
      </c>
      <c r="D144" s="2" t="s">
        <v>37</v>
      </c>
      <c r="E144" s="2" t="s">
        <v>1898</v>
      </c>
      <c r="F144" s="2" t="s">
        <v>41</v>
      </c>
      <c r="G144" s="2" t="s">
        <v>306</v>
      </c>
      <c r="H144" s="2" t="s">
        <v>307</v>
      </c>
      <c r="I144" s="4">
        <v>1440423.32</v>
      </c>
      <c r="J144" s="4">
        <v>0</v>
      </c>
      <c r="K144" s="4">
        <v>0</v>
      </c>
      <c r="L144" s="5"/>
      <c r="M144" s="5">
        <v>4</v>
      </c>
      <c r="N144" s="6">
        <v>57616.932800000002</v>
      </c>
      <c r="O144" s="4">
        <v>57617</v>
      </c>
      <c r="P144" s="4">
        <v>57617</v>
      </c>
      <c r="Q144" s="6">
        <v>-6.7199999999999996E-2</v>
      </c>
      <c r="R144" s="4">
        <v>0</v>
      </c>
      <c r="S144" s="4">
        <v>0</v>
      </c>
      <c r="T144" s="4">
        <v>1200000</v>
      </c>
      <c r="U144" s="4">
        <v>1200000</v>
      </c>
      <c r="V144" s="6">
        <v>83.308800000000005</v>
      </c>
      <c r="W144" s="4">
        <v>0</v>
      </c>
      <c r="X144" s="4">
        <v>0</v>
      </c>
      <c r="Y144" s="4">
        <v>1145710</v>
      </c>
      <c r="Z144" s="4">
        <v>1145710</v>
      </c>
      <c r="AA144" s="4"/>
      <c r="AB144" s="6">
        <v>52719.49</v>
      </c>
      <c r="AC144" s="4">
        <v>52719.49</v>
      </c>
      <c r="AD144" s="4">
        <v>52719.49</v>
      </c>
      <c r="AE144" s="6">
        <v>0</v>
      </c>
      <c r="AF144" s="4">
        <v>0</v>
      </c>
      <c r="AG144" s="7">
        <v>0</v>
      </c>
      <c r="AH144" s="2" t="s">
        <v>37</v>
      </c>
      <c r="AI144">
        <v>0</v>
      </c>
      <c r="AJ144" s="3">
        <v>41912.6862384259</v>
      </c>
      <c r="AK144" s="2" t="s">
        <v>1897</v>
      </c>
    </row>
    <row r="145" spans="1:37" x14ac:dyDescent="0.15">
      <c r="A145" s="2" t="s">
        <v>1896</v>
      </c>
      <c r="B145">
        <v>178</v>
      </c>
      <c r="C145" s="3">
        <v>41609</v>
      </c>
      <c r="D145" s="2" t="s">
        <v>37</v>
      </c>
      <c r="E145" s="2" t="s">
        <v>1895</v>
      </c>
      <c r="F145" s="2" t="s">
        <v>41</v>
      </c>
      <c r="G145" s="2" t="s">
        <v>308</v>
      </c>
      <c r="H145" s="2" t="s">
        <v>309</v>
      </c>
      <c r="I145" s="4">
        <v>1236415</v>
      </c>
      <c r="J145" s="4">
        <v>0</v>
      </c>
      <c r="K145" s="4">
        <v>0</v>
      </c>
      <c r="L145" s="5"/>
      <c r="M145" s="5">
        <v>4</v>
      </c>
      <c r="N145" s="6">
        <v>49456.6</v>
      </c>
      <c r="O145" s="4">
        <v>47920</v>
      </c>
      <c r="P145" s="4">
        <v>47920</v>
      </c>
      <c r="Q145" s="6">
        <v>1536.6</v>
      </c>
      <c r="R145" s="4">
        <v>0</v>
      </c>
      <c r="S145" s="4">
        <v>0</v>
      </c>
      <c r="T145" s="4">
        <v>936915</v>
      </c>
      <c r="U145" s="4">
        <v>936915</v>
      </c>
      <c r="V145" s="6">
        <v>75.776700000000005</v>
      </c>
      <c r="W145" s="4">
        <v>0</v>
      </c>
      <c r="X145" s="4">
        <v>0</v>
      </c>
      <c r="Y145" s="4">
        <v>859342.86</v>
      </c>
      <c r="Z145" s="4">
        <v>859342.86</v>
      </c>
      <c r="AA145" s="4">
        <v>3.4</v>
      </c>
      <c r="AB145" s="6">
        <v>42038.11</v>
      </c>
      <c r="AC145" s="4">
        <v>31855.31</v>
      </c>
      <c r="AD145" s="4">
        <v>31855.31</v>
      </c>
      <c r="AE145" s="6">
        <v>10182.799999999999</v>
      </c>
      <c r="AF145" s="4">
        <v>0</v>
      </c>
      <c r="AG145" s="7">
        <v>0</v>
      </c>
      <c r="AH145" s="2" t="s">
        <v>37</v>
      </c>
      <c r="AI145">
        <v>0</v>
      </c>
      <c r="AJ145" s="3">
        <v>41912.6862384259</v>
      </c>
      <c r="AK145" s="2" t="s">
        <v>1894</v>
      </c>
    </row>
    <row r="146" spans="1:37" x14ac:dyDescent="0.15">
      <c r="A146" s="2" t="s">
        <v>1893</v>
      </c>
      <c r="B146">
        <v>192</v>
      </c>
      <c r="C146" s="3">
        <v>41609</v>
      </c>
      <c r="D146" s="2" t="s">
        <v>37</v>
      </c>
      <c r="E146" s="2" t="s">
        <v>1892</v>
      </c>
      <c r="F146" s="2" t="s">
        <v>41</v>
      </c>
      <c r="G146" s="2" t="s">
        <v>310</v>
      </c>
      <c r="H146" s="2" t="s">
        <v>311</v>
      </c>
      <c r="I146" s="4">
        <v>1042588.3</v>
      </c>
      <c r="J146" s="4">
        <v>0</v>
      </c>
      <c r="K146" s="4">
        <v>0</v>
      </c>
      <c r="L146" s="5"/>
      <c r="M146" s="5">
        <v>3.6</v>
      </c>
      <c r="N146" s="6">
        <v>37533.178800000002</v>
      </c>
      <c r="O146" s="4">
        <v>2892.48</v>
      </c>
      <c r="P146" s="4">
        <v>2892.48</v>
      </c>
      <c r="Q146" s="6">
        <v>34640.698799999998</v>
      </c>
      <c r="R146" s="4">
        <v>0</v>
      </c>
      <c r="S146" s="4">
        <v>0</v>
      </c>
      <c r="T146" s="4">
        <v>300000</v>
      </c>
      <c r="U146" s="4">
        <v>300000</v>
      </c>
      <c r="V146" s="6">
        <v>28.7745</v>
      </c>
      <c r="W146" s="4">
        <v>0</v>
      </c>
      <c r="X146" s="4">
        <v>0</v>
      </c>
      <c r="Y146" s="4">
        <v>289800</v>
      </c>
      <c r="Z146" s="4">
        <v>289800</v>
      </c>
      <c r="AA146" s="4">
        <v>3.4</v>
      </c>
      <c r="AB146" s="6">
        <v>35448.002200000003</v>
      </c>
      <c r="AC146" s="4">
        <v>10200</v>
      </c>
      <c r="AD146" s="4">
        <v>10200</v>
      </c>
      <c r="AE146" s="6">
        <v>25248.002199999999</v>
      </c>
      <c r="AF146" s="4">
        <v>0</v>
      </c>
      <c r="AG146" s="7">
        <v>0</v>
      </c>
      <c r="AH146" s="2" t="s">
        <v>37</v>
      </c>
      <c r="AI146">
        <v>0</v>
      </c>
      <c r="AJ146" s="3">
        <v>41912.6862384259</v>
      </c>
      <c r="AK146" s="2" t="s">
        <v>1891</v>
      </c>
    </row>
    <row r="147" spans="1:37" x14ac:dyDescent="0.15">
      <c r="A147" s="2" t="s">
        <v>1890</v>
      </c>
      <c r="B147">
        <v>206</v>
      </c>
      <c r="C147" s="3">
        <v>41609</v>
      </c>
      <c r="D147" s="2" t="s">
        <v>37</v>
      </c>
      <c r="E147" s="2" t="s">
        <v>1889</v>
      </c>
      <c r="F147" s="2" t="s">
        <v>41</v>
      </c>
      <c r="G147" s="2" t="s">
        <v>314</v>
      </c>
      <c r="H147" s="2" t="s">
        <v>315</v>
      </c>
      <c r="I147" s="4">
        <v>1976165.98</v>
      </c>
      <c r="J147" s="4">
        <v>0</v>
      </c>
      <c r="K147" s="4">
        <v>0</v>
      </c>
      <c r="L147" s="5"/>
      <c r="M147" s="5">
        <v>3.6</v>
      </c>
      <c r="N147" s="6">
        <v>71141.975300000006</v>
      </c>
      <c r="O147" s="4">
        <v>0</v>
      </c>
      <c r="P147" s="4">
        <v>0</v>
      </c>
      <c r="Q147" s="6">
        <v>71141.975300000006</v>
      </c>
      <c r="R147" s="4">
        <v>0</v>
      </c>
      <c r="S147" s="4">
        <v>0</v>
      </c>
      <c r="T147" s="4">
        <v>1585970</v>
      </c>
      <c r="U147" s="4">
        <v>1585970</v>
      </c>
      <c r="V147" s="6">
        <v>80.254900000000006</v>
      </c>
      <c r="W147" s="4">
        <v>0</v>
      </c>
      <c r="X147" s="4">
        <v>0</v>
      </c>
      <c r="Y147" s="4">
        <v>1529184.12</v>
      </c>
      <c r="Z147" s="4">
        <v>1529184.12</v>
      </c>
      <c r="AA147" s="4">
        <v>3.4</v>
      </c>
      <c r="AB147" s="6">
        <v>67189.643299999996</v>
      </c>
      <c r="AC147" s="4">
        <v>33594.800000000003</v>
      </c>
      <c r="AD147" s="4">
        <v>33594.800000000003</v>
      </c>
      <c r="AE147" s="6">
        <v>33594.8433</v>
      </c>
      <c r="AF147" s="4">
        <v>0</v>
      </c>
      <c r="AG147" s="7">
        <v>0</v>
      </c>
      <c r="AH147" s="2" t="s">
        <v>37</v>
      </c>
      <c r="AI147">
        <v>0</v>
      </c>
      <c r="AJ147" s="3">
        <v>41912.6862384259</v>
      </c>
      <c r="AK147" s="2" t="s">
        <v>1888</v>
      </c>
    </row>
    <row r="148" spans="1:37" x14ac:dyDescent="0.15">
      <c r="A148" s="2" t="s">
        <v>1887</v>
      </c>
      <c r="B148">
        <v>1058</v>
      </c>
      <c r="C148" s="3">
        <v>41618</v>
      </c>
      <c r="D148" s="2" t="s">
        <v>37</v>
      </c>
      <c r="E148" s="2" t="s">
        <v>1886</v>
      </c>
      <c r="F148" s="2" t="s">
        <v>38</v>
      </c>
      <c r="G148" s="2" t="s">
        <v>336</v>
      </c>
      <c r="H148" s="2" t="s">
        <v>337</v>
      </c>
      <c r="I148" s="4">
        <v>19413696.16</v>
      </c>
      <c r="J148" s="4">
        <v>0</v>
      </c>
      <c r="K148" s="4">
        <v>0</v>
      </c>
      <c r="L148" s="5"/>
      <c r="M148" s="5">
        <v>3</v>
      </c>
      <c r="N148" s="6">
        <v>582410.8848</v>
      </c>
      <c r="O148" s="4">
        <v>582411</v>
      </c>
      <c r="P148" s="4">
        <v>582411</v>
      </c>
      <c r="Q148" s="6">
        <v>-0.1152</v>
      </c>
      <c r="R148" s="4">
        <v>11410745</v>
      </c>
      <c r="S148" s="4">
        <v>11410745</v>
      </c>
      <c r="T148" s="4">
        <v>12320000</v>
      </c>
      <c r="U148" s="4">
        <v>12320000</v>
      </c>
      <c r="V148" s="6">
        <v>63.4604</v>
      </c>
      <c r="W148" s="4">
        <v>11478428.550000001</v>
      </c>
      <c r="X148" s="4">
        <v>11478428.550000001</v>
      </c>
      <c r="Y148" s="4">
        <v>11478428.550000001</v>
      </c>
      <c r="Z148" s="4">
        <v>11478428.550000001</v>
      </c>
      <c r="AA148" s="4"/>
      <c r="AB148" s="6"/>
      <c r="AC148" s="4">
        <v>0</v>
      </c>
      <c r="AD148" s="4">
        <v>0</v>
      </c>
      <c r="AE148" s="6"/>
      <c r="AF148" s="4">
        <v>0</v>
      </c>
      <c r="AG148" s="7">
        <v>0</v>
      </c>
      <c r="AH148" s="2" t="s">
        <v>37</v>
      </c>
      <c r="AI148">
        <v>0</v>
      </c>
      <c r="AJ148" s="3">
        <v>41912.6862847222</v>
      </c>
      <c r="AK148" s="2" t="s">
        <v>1885</v>
      </c>
    </row>
    <row r="149" spans="1:37" x14ac:dyDescent="0.15">
      <c r="A149" s="2" t="s">
        <v>1884</v>
      </c>
      <c r="B149">
        <v>1064</v>
      </c>
      <c r="C149" s="3">
        <v>41626</v>
      </c>
      <c r="D149" s="2" t="s">
        <v>37</v>
      </c>
      <c r="E149" s="2" t="s">
        <v>1883</v>
      </c>
      <c r="F149" s="2" t="s">
        <v>38</v>
      </c>
      <c r="G149" s="2" t="s">
        <v>338</v>
      </c>
      <c r="H149" s="2" t="s">
        <v>339</v>
      </c>
      <c r="I149" s="4">
        <v>8060000</v>
      </c>
      <c r="J149" s="4">
        <v>0</v>
      </c>
      <c r="K149" s="4">
        <v>0</v>
      </c>
      <c r="L149" s="5"/>
      <c r="M149" s="5">
        <v>3</v>
      </c>
      <c r="N149" s="6">
        <v>241800</v>
      </c>
      <c r="O149" s="4">
        <v>241800</v>
      </c>
      <c r="P149" s="4">
        <v>241800</v>
      </c>
      <c r="Q149" s="6">
        <v>0</v>
      </c>
      <c r="R149" s="4">
        <v>0</v>
      </c>
      <c r="S149" s="4">
        <v>0</v>
      </c>
      <c r="T149" s="4">
        <v>3057158</v>
      </c>
      <c r="U149" s="4">
        <v>3057158</v>
      </c>
      <c r="V149" s="6">
        <v>37.93</v>
      </c>
      <c r="W149" s="4">
        <v>2765096.52</v>
      </c>
      <c r="X149" s="4">
        <v>2765096.52</v>
      </c>
      <c r="Y149" s="4">
        <v>2765096.52</v>
      </c>
      <c r="Z149" s="4">
        <v>2765096.52</v>
      </c>
      <c r="AA149" s="4"/>
      <c r="AB149" s="6"/>
      <c r="AC149" s="4">
        <v>0</v>
      </c>
      <c r="AD149" s="4">
        <v>0</v>
      </c>
      <c r="AE149" s="6"/>
      <c r="AF149" s="4">
        <v>0</v>
      </c>
      <c r="AG149" s="7">
        <v>104</v>
      </c>
      <c r="AH149" s="2" t="s">
        <v>97</v>
      </c>
      <c r="AI149">
        <v>0</v>
      </c>
      <c r="AJ149" s="3">
        <v>41912.6862847222</v>
      </c>
      <c r="AK149" s="2" t="s">
        <v>1882</v>
      </c>
    </row>
    <row r="150" spans="1:37" x14ac:dyDescent="0.15">
      <c r="A150" s="2" t="s">
        <v>1881</v>
      </c>
      <c r="B150">
        <v>1071</v>
      </c>
      <c r="C150" s="3">
        <v>41626</v>
      </c>
      <c r="D150" s="2" t="s">
        <v>37</v>
      </c>
      <c r="E150" s="2" t="s">
        <v>1880</v>
      </c>
      <c r="F150" s="2" t="s">
        <v>38</v>
      </c>
      <c r="G150" s="2" t="s">
        <v>340</v>
      </c>
      <c r="H150" s="2" t="s">
        <v>341</v>
      </c>
      <c r="I150" s="4">
        <v>229276</v>
      </c>
      <c r="J150" s="4">
        <v>0</v>
      </c>
      <c r="K150" s="4">
        <v>0</v>
      </c>
      <c r="L150" s="5"/>
      <c r="M150" s="5">
        <v>3</v>
      </c>
      <c r="N150" s="6">
        <v>6878.28</v>
      </c>
      <c r="O150" s="4">
        <v>0</v>
      </c>
      <c r="P150" s="4">
        <v>0</v>
      </c>
      <c r="Q150" s="6">
        <v>6878.28</v>
      </c>
      <c r="R150" s="4">
        <v>91710.76</v>
      </c>
      <c r="S150" s="4">
        <v>91710.76</v>
      </c>
      <c r="T150" s="4">
        <v>91710.76</v>
      </c>
      <c r="U150" s="4">
        <v>91710.76</v>
      </c>
      <c r="V150" s="6">
        <v>40.0002</v>
      </c>
      <c r="W150" s="4">
        <v>60349</v>
      </c>
      <c r="X150" s="4">
        <v>60349</v>
      </c>
      <c r="Y150" s="4">
        <v>66158</v>
      </c>
      <c r="Z150" s="4">
        <v>66158</v>
      </c>
      <c r="AA150" s="4">
        <v>3.4</v>
      </c>
      <c r="AB150" s="6">
        <v>3118.1658000000002</v>
      </c>
      <c r="AC150" s="4">
        <v>3118</v>
      </c>
      <c r="AD150" s="4">
        <v>3118</v>
      </c>
      <c r="AE150" s="6">
        <v>0.1658</v>
      </c>
      <c r="AF150" s="4">
        <v>0</v>
      </c>
      <c r="AG150" s="7">
        <v>2</v>
      </c>
      <c r="AH150" s="2" t="s">
        <v>66</v>
      </c>
      <c r="AI150">
        <v>0</v>
      </c>
      <c r="AJ150" s="3">
        <v>41912.6862847222</v>
      </c>
      <c r="AK150" s="2" t="s">
        <v>1879</v>
      </c>
    </row>
    <row r="151" spans="1:37" x14ac:dyDescent="0.15">
      <c r="A151" s="2" t="s">
        <v>1878</v>
      </c>
      <c r="B151">
        <v>1080</v>
      </c>
      <c r="C151" s="3">
        <v>41628</v>
      </c>
      <c r="D151" s="2" t="s">
        <v>37</v>
      </c>
      <c r="E151" s="2" t="s">
        <v>1877</v>
      </c>
      <c r="F151" s="2" t="s">
        <v>38</v>
      </c>
      <c r="G151" s="2" t="s">
        <v>342</v>
      </c>
      <c r="H151" s="2" t="s">
        <v>343</v>
      </c>
      <c r="I151" s="4">
        <v>330000</v>
      </c>
      <c r="J151" s="4">
        <v>0</v>
      </c>
      <c r="K151" s="4">
        <v>0</v>
      </c>
      <c r="L151" s="5"/>
      <c r="M151" s="5">
        <v>3.6</v>
      </c>
      <c r="N151" s="6">
        <v>11880</v>
      </c>
      <c r="O151" s="4">
        <v>3405.5</v>
      </c>
      <c r="P151" s="4">
        <v>3405.5</v>
      </c>
      <c r="Q151" s="6">
        <v>8474.5</v>
      </c>
      <c r="R151" s="4">
        <v>180000</v>
      </c>
      <c r="S151" s="4">
        <v>180000</v>
      </c>
      <c r="T151" s="4">
        <v>180000</v>
      </c>
      <c r="U151" s="4">
        <v>180000</v>
      </c>
      <c r="V151" s="6">
        <v>54.545499999999997</v>
      </c>
      <c r="W151" s="4">
        <v>170720</v>
      </c>
      <c r="X151" s="4">
        <v>170720</v>
      </c>
      <c r="Y151" s="4">
        <v>176840</v>
      </c>
      <c r="Z151" s="4">
        <v>176840</v>
      </c>
      <c r="AA151" s="4">
        <v>3.4</v>
      </c>
      <c r="AB151" s="6">
        <v>6120</v>
      </c>
      <c r="AC151" s="4">
        <v>6120</v>
      </c>
      <c r="AD151" s="4">
        <v>6120</v>
      </c>
      <c r="AE151" s="6">
        <v>0</v>
      </c>
      <c r="AF151" s="4">
        <v>0</v>
      </c>
      <c r="AG151" s="7">
        <v>5</v>
      </c>
      <c r="AH151" s="2" t="s">
        <v>159</v>
      </c>
      <c r="AI151">
        <v>0</v>
      </c>
      <c r="AJ151" s="3">
        <v>41912.6862847222</v>
      </c>
      <c r="AK151" s="2" t="s">
        <v>1876</v>
      </c>
    </row>
    <row r="152" spans="1:37" x14ac:dyDescent="0.15">
      <c r="A152" s="2" t="s">
        <v>1875</v>
      </c>
      <c r="B152">
        <v>1086</v>
      </c>
      <c r="C152" s="3">
        <v>41640</v>
      </c>
      <c r="D152" s="2" t="s">
        <v>37</v>
      </c>
      <c r="E152" s="2" t="s">
        <v>1874</v>
      </c>
      <c r="F152" s="2" t="s">
        <v>38</v>
      </c>
      <c r="G152" s="2" t="s">
        <v>344</v>
      </c>
      <c r="H152" s="2" t="s">
        <v>345</v>
      </c>
      <c r="I152" s="4">
        <v>61225227</v>
      </c>
      <c r="J152" s="4">
        <v>0</v>
      </c>
      <c r="K152" s="4">
        <v>0</v>
      </c>
      <c r="L152" s="5"/>
      <c r="M152" s="5">
        <v>2.5</v>
      </c>
      <c r="N152" s="6">
        <v>1530630.675</v>
      </c>
      <c r="O152" s="4">
        <v>790000</v>
      </c>
      <c r="P152" s="4">
        <v>790000</v>
      </c>
      <c r="Q152" s="6">
        <v>740630.67500000005</v>
      </c>
      <c r="R152" s="4">
        <v>28124956.18</v>
      </c>
      <c r="S152" s="4">
        <v>28124956.18</v>
      </c>
      <c r="T152" s="4">
        <v>19687469.329999998</v>
      </c>
      <c r="U152" s="4">
        <v>19687469.329999998</v>
      </c>
      <c r="V152" s="6">
        <v>32.155799999999999</v>
      </c>
      <c r="W152" s="4">
        <v>14697501.279999999</v>
      </c>
      <c r="X152" s="4">
        <v>14697501.279999999</v>
      </c>
      <c r="Y152" s="4">
        <v>17777554.559999999</v>
      </c>
      <c r="Z152" s="4">
        <v>17777554.559999999</v>
      </c>
      <c r="AA152" s="4">
        <v>3.56</v>
      </c>
      <c r="AB152" s="6">
        <v>1001248.44</v>
      </c>
      <c r="AC152" s="4">
        <v>0</v>
      </c>
      <c r="AD152" s="4">
        <v>0</v>
      </c>
      <c r="AE152" s="6">
        <v>1001248.44</v>
      </c>
      <c r="AF152" s="4">
        <v>0</v>
      </c>
      <c r="AG152" s="7">
        <v>0</v>
      </c>
      <c r="AH152" s="2" t="s">
        <v>37</v>
      </c>
      <c r="AI152">
        <v>0</v>
      </c>
      <c r="AJ152" s="3">
        <v>41912.6862847222</v>
      </c>
      <c r="AK152" s="2" t="s">
        <v>1873</v>
      </c>
    </row>
    <row r="153" spans="1:37" x14ac:dyDescent="0.15">
      <c r="A153" s="2" t="s">
        <v>1872</v>
      </c>
      <c r="B153">
        <v>1102</v>
      </c>
      <c r="C153" s="3">
        <v>41640</v>
      </c>
      <c r="D153" s="2" t="s">
        <v>37</v>
      </c>
      <c r="E153" s="2" t="s">
        <v>1871</v>
      </c>
      <c r="F153" s="2" t="s">
        <v>38</v>
      </c>
      <c r="G153" s="2" t="s">
        <v>350</v>
      </c>
      <c r="H153" s="2" t="s">
        <v>351</v>
      </c>
      <c r="I153" s="4">
        <v>42615176.350000001</v>
      </c>
      <c r="J153" s="4">
        <v>0</v>
      </c>
      <c r="K153" s="4">
        <v>0</v>
      </c>
      <c r="L153" s="5"/>
      <c r="M153" s="5">
        <v>3</v>
      </c>
      <c r="N153" s="6">
        <v>1278455.2904999999</v>
      </c>
      <c r="O153" s="4">
        <v>800000</v>
      </c>
      <c r="P153" s="4">
        <v>800000</v>
      </c>
      <c r="Q153" s="6">
        <v>478455.2905</v>
      </c>
      <c r="R153" s="4">
        <v>17886113.5</v>
      </c>
      <c r="S153" s="4">
        <v>17886113.5</v>
      </c>
      <c r="T153" s="4">
        <v>17886113.5</v>
      </c>
      <c r="U153" s="4">
        <v>17886113.5</v>
      </c>
      <c r="V153" s="6">
        <v>41.971200000000003</v>
      </c>
      <c r="W153" s="4">
        <v>16222938.1</v>
      </c>
      <c r="X153" s="4">
        <v>16222938.1</v>
      </c>
      <c r="Y153" s="4">
        <v>17003848.52</v>
      </c>
      <c r="Z153" s="4">
        <v>17003848.52</v>
      </c>
      <c r="AA153" s="4">
        <v>3.4</v>
      </c>
      <c r="AB153" s="6">
        <v>608127.85900000005</v>
      </c>
      <c r="AC153" s="4">
        <v>608128</v>
      </c>
      <c r="AD153" s="4">
        <v>608128</v>
      </c>
      <c r="AE153" s="6">
        <v>-0.14099999999999999</v>
      </c>
      <c r="AF153" s="4">
        <v>0</v>
      </c>
      <c r="AG153" s="7">
        <v>150</v>
      </c>
      <c r="AH153" s="2" t="s">
        <v>52</v>
      </c>
      <c r="AI153">
        <v>0</v>
      </c>
      <c r="AJ153" s="3">
        <v>41912.6862847222</v>
      </c>
      <c r="AK153" s="2" t="s">
        <v>1870</v>
      </c>
    </row>
    <row r="154" spans="1:37" x14ac:dyDescent="0.15">
      <c r="A154" s="2" t="s">
        <v>1869</v>
      </c>
      <c r="B154">
        <v>216</v>
      </c>
      <c r="C154" s="3">
        <v>41640</v>
      </c>
      <c r="D154" s="2" t="s">
        <v>37</v>
      </c>
      <c r="E154" s="2" t="s">
        <v>1868</v>
      </c>
      <c r="F154" s="2" t="s">
        <v>41</v>
      </c>
      <c r="G154" s="2" t="s">
        <v>348</v>
      </c>
      <c r="H154" s="2" t="s">
        <v>349</v>
      </c>
      <c r="I154" s="4">
        <v>8084018.7400000002</v>
      </c>
      <c r="J154" s="4">
        <v>0</v>
      </c>
      <c r="K154" s="4">
        <v>0</v>
      </c>
      <c r="L154" s="5"/>
      <c r="M154" s="5">
        <v>3</v>
      </c>
      <c r="N154" s="6">
        <v>242520.56219999999</v>
      </c>
      <c r="O154" s="4">
        <v>121260</v>
      </c>
      <c r="P154" s="4">
        <v>121260</v>
      </c>
      <c r="Q154" s="6">
        <v>121260.5622</v>
      </c>
      <c r="R154" s="4">
        <v>0</v>
      </c>
      <c r="S154" s="4">
        <v>0</v>
      </c>
      <c r="T154" s="4">
        <v>1578401</v>
      </c>
      <c r="U154" s="4">
        <v>1578401</v>
      </c>
      <c r="V154" s="6">
        <v>19.524999999999999</v>
      </c>
      <c r="W154" s="4">
        <v>0</v>
      </c>
      <c r="X154" s="4">
        <v>0</v>
      </c>
      <c r="Y154" s="4">
        <v>1516729</v>
      </c>
      <c r="Z154" s="4">
        <v>1516729</v>
      </c>
      <c r="AA154" s="4">
        <v>3.4</v>
      </c>
      <c r="AB154" s="6">
        <v>274856.6372</v>
      </c>
      <c r="AC154" s="4">
        <v>53665.63</v>
      </c>
      <c r="AD154" s="4">
        <v>53665.63</v>
      </c>
      <c r="AE154" s="6">
        <v>221191.00719999999</v>
      </c>
      <c r="AF154" s="4">
        <v>0</v>
      </c>
      <c r="AG154" s="7">
        <v>0</v>
      </c>
      <c r="AH154" s="2" t="s">
        <v>37</v>
      </c>
      <c r="AI154">
        <v>0</v>
      </c>
      <c r="AJ154" s="3">
        <v>41912.6862384259</v>
      </c>
      <c r="AK154" s="2" t="s">
        <v>1867</v>
      </c>
    </row>
    <row r="155" spans="1:37" x14ac:dyDescent="0.15">
      <c r="A155" s="2" t="s">
        <v>1866</v>
      </c>
      <c r="B155">
        <v>1093</v>
      </c>
      <c r="C155" s="3">
        <v>41640</v>
      </c>
      <c r="D155" s="2" t="s">
        <v>37</v>
      </c>
      <c r="E155" s="2" t="s">
        <v>1865</v>
      </c>
      <c r="F155" s="2" t="s">
        <v>38</v>
      </c>
      <c r="G155" s="2" t="s">
        <v>346</v>
      </c>
      <c r="H155" s="2" t="s">
        <v>347</v>
      </c>
      <c r="I155" s="4">
        <v>14355608.07</v>
      </c>
      <c r="J155" s="4">
        <v>0</v>
      </c>
      <c r="K155" s="4">
        <v>0</v>
      </c>
      <c r="L155" s="5"/>
      <c r="M155" s="5">
        <v>3.2</v>
      </c>
      <c r="N155" s="6">
        <v>459379.45819999999</v>
      </c>
      <c r="O155" s="4">
        <v>459379</v>
      </c>
      <c r="P155" s="4">
        <v>459379</v>
      </c>
      <c r="Q155" s="6">
        <v>0.4582</v>
      </c>
      <c r="R155" s="4">
        <v>10766705.58</v>
      </c>
      <c r="S155" s="4">
        <v>10766705.58</v>
      </c>
      <c r="T155" s="4">
        <v>10766705.58</v>
      </c>
      <c r="U155" s="4">
        <v>10766705.58</v>
      </c>
      <c r="V155" s="6">
        <v>75</v>
      </c>
      <c r="W155" s="4">
        <v>8237236.8899999997</v>
      </c>
      <c r="X155" s="4">
        <v>8237236.8899999997</v>
      </c>
      <c r="Y155" s="4">
        <v>10005119.24</v>
      </c>
      <c r="Z155" s="4">
        <v>10005119.24</v>
      </c>
      <c r="AA155" s="4">
        <v>3.4</v>
      </c>
      <c r="AB155" s="6">
        <v>366067.98969999998</v>
      </c>
      <c r="AC155" s="4">
        <v>366068</v>
      </c>
      <c r="AD155" s="4">
        <v>366068</v>
      </c>
      <c r="AE155" s="6">
        <v>-1.03E-2</v>
      </c>
      <c r="AF155" s="4">
        <v>0</v>
      </c>
      <c r="AG155" s="7">
        <v>0</v>
      </c>
      <c r="AH155" s="2" t="s">
        <v>37</v>
      </c>
      <c r="AI155">
        <v>0</v>
      </c>
      <c r="AJ155" s="3">
        <v>41912.6862847222</v>
      </c>
      <c r="AK155" s="2" t="s">
        <v>1864</v>
      </c>
    </row>
    <row r="156" spans="1:37" x14ac:dyDescent="0.15">
      <c r="A156" s="2" t="s">
        <v>1863</v>
      </c>
      <c r="B156">
        <v>1094</v>
      </c>
      <c r="C156" s="3">
        <v>41640</v>
      </c>
      <c r="D156" s="2" t="s">
        <v>37</v>
      </c>
      <c r="E156" s="2" t="s">
        <v>1862</v>
      </c>
      <c r="F156" s="2" t="s">
        <v>38</v>
      </c>
      <c r="G156" s="2" t="s">
        <v>1547</v>
      </c>
      <c r="H156" s="2" t="s">
        <v>1681</v>
      </c>
      <c r="I156" s="4"/>
      <c r="J156" s="4">
        <v>0</v>
      </c>
      <c r="K156" s="4">
        <v>0</v>
      </c>
      <c r="L156" s="5"/>
      <c r="M156" s="5"/>
      <c r="N156" s="6"/>
      <c r="O156" s="4">
        <v>0</v>
      </c>
      <c r="P156" s="4">
        <v>0</v>
      </c>
      <c r="Q156" s="6"/>
      <c r="R156" s="4">
        <v>0</v>
      </c>
      <c r="S156" s="4">
        <v>0</v>
      </c>
      <c r="T156" s="4">
        <v>0</v>
      </c>
      <c r="U156" s="4">
        <v>0</v>
      </c>
      <c r="V156" s="6">
        <v>0</v>
      </c>
      <c r="W156" s="4">
        <v>0</v>
      </c>
      <c r="X156" s="4">
        <v>0</v>
      </c>
      <c r="Y156" s="4">
        <v>0</v>
      </c>
      <c r="Z156" s="4">
        <v>0</v>
      </c>
      <c r="AA156" s="4"/>
      <c r="AB156" s="6">
        <v>0</v>
      </c>
      <c r="AC156" s="4">
        <v>0</v>
      </c>
      <c r="AD156" s="4">
        <v>0</v>
      </c>
      <c r="AE156" s="6">
        <v>0</v>
      </c>
      <c r="AF156" s="4">
        <v>0</v>
      </c>
      <c r="AG156" s="7">
        <v>0</v>
      </c>
      <c r="AH156" s="2" t="s">
        <v>37</v>
      </c>
      <c r="AI156">
        <v>0</v>
      </c>
      <c r="AJ156" s="3">
        <v>41912.6862847222</v>
      </c>
      <c r="AK156" s="2" t="s">
        <v>1861</v>
      </c>
    </row>
    <row r="157" spans="1:37" x14ac:dyDescent="0.15">
      <c r="A157" s="2" t="s">
        <v>1860</v>
      </c>
      <c r="B157">
        <v>221</v>
      </c>
      <c r="C157" s="3">
        <v>41671</v>
      </c>
      <c r="D157" s="2" t="s">
        <v>37</v>
      </c>
      <c r="E157" s="2" t="s">
        <v>1859</v>
      </c>
      <c r="F157" s="2" t="s">
        <v>41</v>
      </c>
      <c r="G157" s="2" t="s">
        <v>352</v>
      </c>
      <c r="H157" s="2" t="s">
        <v>353</v>
      </c>
      <c r="I157" s="4">
        <v>2915737.56</v>
      </c>
      <c r="J157" s="4">
        <v>0</v>
      </c>
      <c r="K157" s="4">
        <v>0</v>
      </c>
      <c r="L157" s="5"/>
      <c r="M157" s="5">
        <v>3.6</v>
      </c>
      <c r="N157" s="6">
        <v>104966.55220000001</v>
      </c>
      <c r="O157" s="4">
        <v>97955.71</v>
      </c>
      <c r="P157" s="4">
        <v>97955.71</v>
      </c>
      <c r="Q157" s="6">
        <v>7010.8422</v>
      </c>
      <c r="R157" s="4">
        <v>0</v>
      </c>
      <c r="S157" s="4">
        <v>0</v>
      </c>
      <c r="T157" s="4">
        <v>1360496</v>
      </c>
      <c r="U157" s="4">
        <v>1360496</v>
      </c>
      <c r="V157" s="6">
        <v>46.660400000000003</v>
      </c>
      <c r="W157" s="4">
        <v>0</v>
      </c>
      <c r="X157" s="4">
        <v>0</v>
      </c>
      <c r="Y157" s="4">
        <v>1145067.95</v>
      </c>
      <c r="Z157" s="4">
        <v>1145067.95</v>
      </c>
      <c r="AA157" s="4">
        <v>3.4</v>
      </c>
      <c r="AB157" s="6">
        <v>99135.077000000005</v>
      </c>
      <c r="AC157" s="4">
        <v>74010.98</v>
      </c>
      <c r="AD157" s="4">
        <v>74010.98</v>
      </c>
      <c r="AE157" s="6">
        <v>25124.097000000002</v>
      </c>
      <c r="AF157" s="4">
        <v>0</v>
      </c>
      <c r="AG157" s="7">
        <v>0</v>
      </c>
      <c r="AH157" s="2" t="s">
        <v>37</v>
      </c>
      <c r="AI157">
        <v>0</v>
      </c>
      <c r="AJ157" s="3">
        <v>41912.6862384259</v>
      </c>
      <c r="AK157" s="2" t="s">
        <v>1858</v>
      </c>
    </row>
    <row r="158" spans="1:37" x14ac:dyDescent="0.15">
      <c r="A158" s="2" t="s">
        <v>1857</v>
      </c>
      <c r="B158">
        <v>1117</v>
      </c>
      <c r="C158" s="3">
        <v>41699</v>
      </c>
      <c r="D158" s="2" t="s">
        <v>37</v>
      </c>
      <c r="E158" s="2" t="s">
        <v>1856</v>
      </c>
      <c r="F158" s="2" t="s">
        <v>38</v>
      </c>
      <c r="G158" s="2" t="s">
        <v>358</v>
      </c>
      <c r="H158" s="2" t="s">
        <v>359</v>
      </c>
      <c r="I158" s="4">
        <v>1054353.53</v>
      </c>
      <c r="J158" s="4">
        <v>0</v>
      </c>
      <c r="K158" s="4">
        <v>0</v>
      </c>
      <c r="L158" s="5"/>
      <c r="M158" s="5">
        <v>3</v>
      </c>
      <c r="N158" s="6">
        <v>31630.605899999999</v>
      </c>
      <c r="O158" s="4">
        <v>31631</v>
      </c>
      <c r="P158" s="4">
        <v>31631</v>
      </c>
      <c r="Q158" s="6">
        <v>-0.39410000000000001</v>
      </c>
      <c r="R158" s="4">
        <v>200000</v>
      </c>
      <c r="S158" s="4">
        <v>200000</v>
      </c>
      <c r="T158" s="4">
        <v>200000</v>
      </c>
      <c r="U158" s="4">
        <v>200000</v>
      </c>
      <c r="V158" s="6">
        <v>18.969000000000001</v>
      </c>
      <c r="W158" s="4">
        <v>80000</v>
      </c>
      <c r="X158" s="4">
        <v>80000</v>
      </c>
      <c r="Y158" s="4">
        <v>86800</v>
      </c>
      <c r="Z158" s="4">
        <v>86800</v>
      </c>
      <c r="AA158" s="4">
        <v>3.4</v>
      </c>
      <c r="AB158" s="6">
        <v>6800</v>
      </c>
      <c r="AC158" s="4">
        <v>6800</v>
      </c>
      <c r="AD158" s="4">
        <v>6800</v>
      </c>
      <c r="AE158" s="6">
        <v>0</v>
      </c>
      <c r="AF158" s="4">
        <v>0</v>
      </c>
      <c r="AG158" s="7">
        <v>15</v>
      </c>
      <c r="AH158" s="2" t="s">
        <v>159</v>
      </c>
      <c r="AI158">
        <v>0</v>
      </c>
      <c r="AJ158" s="3">
        <v>41912.6862847222</v>
      </c>
      <c r="AK158" s="2" t="s">
        <v>1855</v>
      </c>
    </row>
    <row r="159" spans="1:37" x14ac:dyDescent="0.15">
      <c r="A159" s="2" t="s">
        <v>1854</v>
      </c>
      <c r="B159">
        <v>226</v>
      </c>
      <c r="C159" s="3">
        <v>41699</v>
      </c>
      <c r="D159" s="2" t="s">
        <v>37</v>
      </c>
      <c r="E159" s="2" t="s">
        <v>1853</v>
      </c>
      <c r="F159" s="2" t="s">
        <v>41</v>
      </c>
      <c r="G159" s="2" t="s">
        <v>356</v>
      </c>
      <c r="H159" s="2" t="s">
        <v>357</v>
      </c>
      <c r="I159" s="4">
        <v>12750000</v>
      </c>
      <c r="J159" s="4">
        <v>0</v>
      </c>
      <c r="K159" s="4">
        <v>0</v>
      </c>
      <c r="L159" s="5"/>
      <c r="M159" s="5">
        <v>3</v>
      </c>
      <c r="N159" s="6">
        <v>382500</v>
      </c>
      <c r="O159" s="4">
        <v>382500</v>
      </c>
      <c r="P159" s="4">
        <v>382500</v>
      </c>
      <c r="Q159" s="6">
        <v>0</v>
      </c>
      <c r="R159" s="4">
        <v>0</v>
      </c>
      <c r="S159" s="4">
        <v>0</v>
      </c>
      <c r="T159" s="4">
        <v>7596524.4199999999</v>
      </c>
      <c r="U159" s="4">
        <v>7596524.4199999999</v>
      </c>
      <c r="V159" s="6">
        <v>59.580599999999997</v>
      </c>
      <c r="W159" s="4">
        <v>0</v>
      </c>
      <c r="X159" s="4">
        <v>0</v>
      </c>
      <c r="Y159" s="4">
        <v>6030422.2000000002</v>
      </c>
      <c r="Z159" s="4">
        <v>6030422.2000000002</v>
      </c>
      <c r="AA159" s="4"/>
      <c r="AB159" s="6">
        <v>297937.5</v>
      </c>
      <c r="AC159" s="4">
        <v>297937.5</v>
      </c>
      <c r="AD159" s="4">
        <v>297937.5</v>
      </c>
      <c r="AE159" s="6">
        <v>0</v>
      </c>
      <c r="AF159" s="4">
        <v>0</v>
      </c>
      <c r="AG159" s="7">
        <v>0</v>
      </c>
      <c r="AH159" s="2" t="s">
        <v>37</v>
      </c>
      <c r="AI159">
        <v>0</v>
      </c>
      <c r="AJ159" s="3">
        <v>41912.6862384259</v>
      </c>
      <c r="AK159" s="2" t="s">
        <v>1852</v>
      </c>
    </row>
    <row r="160" spans="1:37" x14ac:dyDescent="0.15">
      <c r="A160" s="2" t="s">
        <v>1851</v>
      </c>
      <c r="B160">
        <v>1109</v>
      </c>
      <c r="C160" s="3">
        <v>41699</v>
      </c>
      <c r="D160" s="2" t="s">
        <v>37</v>
      </c>
      <c r="E160" s="2" t="s">
        <v>1850</v>
      </c>
      <c r="F160" s="2" t="s">
        <v>38</v>
      </c>
      <c r="G160" s="2" t="s">
        <v>354</v>
      </c>
      <c r="H160" s="2" t="s">
        <v>355</v>
      </c>
      <c r="I160" s="4">
        <v>261648.41</v>
      </c>
      <c r="J160" s="4">
        <v>0</v>
      </c>
      <c r="K160" s="4">
        <v>0</v>
      </c>
      <c r="L160" s="5"/>
      <c r="M160" s="5">
        <v>3.6</v>
      </c>
      <c r="N160" s="6">
        <v>9419.3428000000004</v>
      </c>
      <c r="O160" s="4">
        <v>9419</v>
      </c>
      <c r="P160" s="4">
        <v>9419</v>
      </c>
      <c r="Q160" s="6">
        <v>0.34279999999999999</v>
      </c>
      <c r="R160" s="4">
        <v>248565.99</v>
      </c>
      <c r="S160" s="4">
        <v>248565.99</v>
      </c>
      <c r="T160" s="4">
        <v>248565.99</v>
      </c>
      <c r="U160" s="4">
        <v>248565.99</v>
      </c>
      <c r="V160" s="6">
        <v>95</v>
      </c>
      <c r="W160" s="4">
        <v>109977</v>
      </c>
      <c r="X160" s="4">
        <v>109977</v>
      </c>
      <c r="Y160" s="4">
        <v>248518</v>
      </c>
      <c r="Z160" s="4">
        <v>248518</v>
      </c>
      <c r="AA160" s="4">
        <v>3.4</v>
      </c>
      <c r="AB160" s="6">
        <v>8451.2437000000009</v>
      </c>
      <c r="AC160" s="4">
        <v>8541</v>
      </c>
      <c r="AD160" s="4">
        <v>8541</v>
      </c>
      <c r="AE160" s="6">
        <v>-89.756299999999996</v>
      </c>
      <c r="AF160" s="4">
        <v>0</v>
      </c>
      <c r="AG160" s="7">
        <v>0</v>
      </c>
      <c r="AH160" s="2" t="s">
        <v>37</v>
      </c>
      <c r="AI160">
        <v>0</v>
      </c>
      <c r="AJ160" s="3">
        <v>41912.6862847222</v>
      </c>
      <c r="AK160" s="2" t="s">
        <v>1849</v>
      </c>
    </row>
    <row r="161" spans="1:37" x14ac:dyDescent="0.15">
      <c r="A161" s="2" t="s">
        <v>1848</v>
      </c>
      <c r="B161">
        <v>1126</v>
      </c>
      <c r="C161" s="3">
        <v>41730</v>
      </c>
      <c r="D161" s="2" t="s">
        <v>37</v>
      </c>
      <c r="E161" s="2" t="s">
        <v>1847</v>
      </c>
      <c r="F161" s="2" t="s">
        <v>38</v>
      </c>
      <c r="G161" s="2" t="s">
        <v>364</v>
      </c>
      <c r="H161" s="2" t="s">
        <v>365</v>
      </c>
      <c r="I161" s="4">
        <v>1393840</v>
      </c>
      <c r="J161" s="4">
        <v>853433.7</v>
      </c>
      <c r="K161" s="4">
        <v>853433.7</v>
      </c>
      <c r="L161" s="5"/>
      <c r="M161" s="5">
        <v>3.6</v>
      </c>
      <c r="N161" s="6">
        <v>80901.853199999998</v>
      </c>
      <c r="O161" s="4">
        <v>50613</v>
      </c>
      <c r="P161" s="4">
        <v>50613</v>
      </c>
      <c r="Q161" s="6">
        <v>30288.853200000001</v>
      </c>
      <c r="R161" s="4">
        <v>1142434.71</v>
      </c>
      <c r="S161" s="4">
        <v>1142434.71</v>
      </c>
      <c r="T161" s="4">
        <v>1142434.71</v>
      </c>
      <c r="U161" s="4">
        <v>1142434.71</v>
      </c>
      <c r="V161" s="6">
        <v>50.836500000000001</v>
      </c>
      <c r="W161" s="4">
        <v>932058.05</v>
      </c>
      <c r="X161" s="4">
        <v>932058.05</v>
      </c>
      <c r="Y161" s="4">
        <v>972572.05</v>
      </c>
      <c r="Z161" s="4">
        <v>972572.05</v>
      </c>
      <c r="AA161" s="4">
        <v>3.4</v>
      </c>
      <c r="AB161" s="6">
        <v>38842.780100000004</v>
      </c>
      <c r="AC161" s="4">
        <v>38842</v>
      </c>
      <c r="AD161" s="4">
        <v>38842</v>
      </c>
      <c r="AE161" s="6">
        <v>0.78010000000000002</v>
      </c>
      <c r="AF161" s="4">
        <v>0</v>
      </c>
      <c r="AG161" s="7">
        <v>20</v>
      </c>
      <c r="AH161" s="2" t="s">
        <v>97</v>
      </c>
      <c r="AI161">
        <v>0</v>
      </c>
      <c r="AJ161" s="3">
        <v>41912.6862847222</v>
      </c>
      <c r="AK161" s="2" t="s">
        <v>1846</v>
      </c>
    </row>
    <row r="162" spans="1:37" x14ac:dyDescent="0.15">
      <c r="A162" s="2" t="s">
        <v>1845</v>
      </c>
      <c r="B162">
        <v>231</v>
      </c>
      <c r="C162" s="3">
        <v>41730</v>
      </c>
      <c r="D162" s="2" t="s">
        <v>37</v>
      </c>
      <c r="E162" s="2" t="s">
        <v>1844</v>
      </c>
      <c r="F162" s="2" t="s">
        <v>41</v>
      </c>
      <c r="G162" s="2" t="s">
        <v>362</v>
      </c>
      <c r="H162" s="2" t="s">
        <v>363</v>
      </c>
      <c r="I162" s="4">
        <v>50000</v>
      </c>
      <c r="J162" s="4">
        <v>0</v>
      </c>
      <c r="K162" s="4">
        <v>0</v>
      </c>
      <c r="L162" s="5"/>
      <c r="M162" s="5">
        <v>8.6</v>
      </c>
      <c r="N162" s="6">
        <v>4300</v>
      </c>
      <c r="O162" s="4">
        <v>4300</v>
      </c>
      <c r="P162" s="4">
        <v>4300</v>
      </c>
      <c r="Q162" s="6">
        <v>0</v>
      </c>
      <c r="R162" s="4">
        <v>0</v>
      </c>
      <c r="S162" s="4">
        <v>0</v>
      </c>
      <c r="T162" s="4">
        <v>40000</v>
      </c>
      <c r="U162" s="4">
        <v>40000</v>
      </c>
      <c r="V162" s="6">
        <v>80</v>
      </c>
      <c r="W162" s="4">
        <v>0</v>
      </c>
      <c r="X162" s="4">
        <v>0</v>
      </c>
      <c r="Y162" s="4">
        <v>40000</v>
      </c>
      <c r="Z162" s="4">
        <v>40000</v>
      </c>
      <c r="AA162" s="4">
        <v>3.4</v>
      </c>
      <c r="AB162" s="6">
        <v>1700</v>
      </c>
      <c r="AC162" s="4">
        <v>1700</v>
      </c>
      <c r="AD162" s="4">
        <v>1700</v>
      </c>
      <c r="AE162" s="6">
        <v>0</v>
      </c>
      <c r="AF162" s="4">
        <v>0</v>
      </c>
      <c r="AG162" s="7">
        <v>0</v>
      </c>
      <c r="AH162" s="2" t="s">
        <v>37</v>
      </c>
      <c r="AI162">
        <v>0</v>
      </c>
      <c r="AJ162" s="3">
        <v>41912.6862384259</v>
      </c>
      <c r="AK162" s="2" t="s">
        <v>1843</v>
      </c>
    </row>
    <row r="163" spans="1:37" x14ac:dyDescent="0.15">
      <c r="A163" s="2" t="s">
        <v>1842</v>
      </c>
      <c r="B163">
        <v>1133</v>
      </c>
      <c r="C163" s="3">
        <v>41730</v>
      </c>
      <c r="D163" s="2" t="s">
        <v>37</v>
      </c>
      <c r="E163" s="2" t="s">
        <v>1841</v>
      </c>
      <c r="F163" s="2" t="s">
        <v>38</v>
      </c>
      <c r="G163" s="2" t="s">
        <v>360</v>
      </c>
      <c r="H163" s="2" t="s">
        <v>361</v>
      </c>
      <c r="I163" s="4">
        <v>1470000</v>
      </c>
      <c r="J163" s="4">
        <v>0</v>
      </c>
      <c r="K163" s="4">
        <v>0</v>
      </c>
      <c r="L163" s="5"/>
      <c r="M163" s="5">
        <v>3.6</v>
      </c>
      <c r="N163" s="6">
        <v>52920</v>
      </c>
      <c r="O163" s="4">
        <v>0</v>
      </c>
      <c r="P163" s="4">
        <v>0</v>
      </c>
      <c r="Q163" s="6">
        <v>52920</v>
      </c>
      <c r="R163" s="4">
        <v>1176000.01</v>
      </c>
      <c r="S163" s="4">
        <v>1176000.01</v>
      </c>
      <c r="T163" s="4">
        <v>664033.28000000003</v>
      </c>
      <c r="U163" s="4">
        <v>664033.28000000003</v>
      </c>
      <c r="V163" s="6">
        <v>45.1723</v>
      </c>
      <c r="W163" s="4">
        <v>243938.24</v>
      </c>
      <c r="X163" s="4">
        <v>243938.24</v>
      </c>
      <c r="Y163" s="4">
        <v>283922.24</v>
      </c>
      <c r="Z163" s="4">
        <v>283922.24</v>
      </c>
      <c r="AA163" s="4">
        <v>3.4</v>
      </c>
      <c r="AB163" s="6">
        <v>39984.0003</v>
      </c>
      <c r="AC163" s="4">
        <v>39984</v>
      </c>
      <c r="AD163" s="4">
        <v>39984</v>
      </c>
      <c r="AE163" s="6">
        <v>2.9999999999999997E-4</v>
      </c>
      <c r="AF163" s="4">
        <v>0</v>
      </c>
      <c r="AG163" s="7">
        <v>1</v>
      </c>
      <c r="AH163" s="2" t="s">
        <v>97</v>
      </c>
      <c r="AI163">
        <v>0</v>
      </c>
      <c r="AJ163" s="3">
        <v>41912.6862847222</v>
      </c>
      <c r="AK163" s="2" t="s">
        <v>1840</v>
      </c>
    </row>
    <row r="164" spans="1:37" x14ac:dyDescent="0.15">
      <c r="A164" s="2" t="s">
        <v>1839</v>
      </c>
      <c r="B164">
        <v>1151</v>
      </c>
      <c r="C164" s="3">
        <v>41744</v>
      </c>
      <c r="D164" s="2" t="s">
        <v>37</v>
      </c>
      <c r="E164" s="2" t="s">
        <v>1838</v>
      </c>
      <c r="F164" s="2" t="s">
        <v>38</v>
      </c>
      <c r="G164" s="2" t="s">
        <v>366</v>
      </c>
      <c r="H164" s="2" t="s">
        <v>367</v>
      </c>
      <c r="I164" s="4">
        <v>1414102.49</v>
      </c>
      <c r="J164" s="4">
        <v>0</v>
      </c>
      <c r="K164" s="4">
        <v>0</v>
      </c>
      <c r="L164" s="5"/>
      <c r="M164" s="5">
        <v>3.6</v>
      </c>
      <c r="N164" s="6">
        <v>50907.689599999998</v>
      </c>
      <c r="O164" s="4">
        <v>50908</v>
      </c>
      <c r="P164" s="4">
        <v>50908</v>
      </c>
      <c r="Q164" s="6">
        <v>-0.31040000000000001</v>
      </c>
      <c r="R164" s="4">
        <v>0</v>
      </c>
      <c r="S164" s="4">
        <v>0</v>
      </c>
      <c r="T164" s="4">
        <v>0</v>
      </c>
      <c r="U164" s="4">
        <v>0</v>
      </c>
      <c r="V164" s="6">
        <v>0</v>
      </c>
      <c r="W164" s="4">
        <v>0</v>
      </c>
      <c r="X164" s="4">
        <v>0</v>
      </c>
      <c r="Y164" s="4">
        <v>0</v>
      </c>
      <c r="Z164" s="4">
        <v>0</v>
      </c>
      <c r="AA164" s="4"/>
      <c r="AB164" s="6">
        <v>0</v>
      </c>
      <c r="AC164" s="4">
        <v>0</v>
      </c>
      <c r="AD164" s="4">
        <v>0</v>
      </c>
      <c r="AE164" s="6">
        <v>0</v>
      </c>
      <c r="AF164" s="4">
        <v>0</v>
      </c>
      <c r="AG164" s="7">
        <v>15</v>
      </c>
      <c r="AH164" s="2" t="s">
        <v>66</v>
      </c>
      <c r="AI164">
        <v>0</v>
      </c>
      <c r="AJ164" s="3">
        <v>41912.6862847222</v>
      </c>
      <c r="AK164" s="2" t="s">
        <v>1837</v>
      </c>
    </row>
    <row r="165" spans="1:37" x14ac:dyDescent="0.15">
      <c r="A165" s="2" t="s">
        <v>1836</v>
      </c>
      <c r="B165">
        <v>1141</v>
      </c>
      <c r="C165" s="3">
        <v>41745</v>
      </c>
      <c r="D165" s="2" t="s">
        <v>37</v>
      </c>
      <c r="E165" s="2" t="s">
        <v>1835</v>
      </c>
      <c r="F165" s="2" t="s">
        <v>38</v>
      </c>
      <c r="G165" s="2" t="s">
        <v>368</v>
      </c>
      <c r="H165" s="2" t="s">
        <v>369</v>
      </c>
      <c r="I165" s="4">
        <v>1287679</v>
      </c>
      <c r="J165" s="4">
        <v>0</v>
      </c>
      <c r="K165" s="4">
        <v>0</v>
      </c>
      <c r="L165" s="5"/>
      <c r="M165" s="5">
        <v>3.6</v>
      </c>
      <c r="N165" s="6">
        <v>46356.444000000003</v>
      </c>
      <c r="O165" s="4">
        <v>46356</v>
      </c>
      <c r="P165" s="4">
        <v>46356</v>
      </c>
      <c r="Q165" s="6">
        <v>0.44400000000000001</v>
      </c>
      <c r="R165" s="4">
        <v>400000</v>
      </c>
      <c r="S165" s="4">
        <v>400000</v>
      </c>
      <c r="T165" s="4">
        <v>400000</v>
      </c>
      <c r="U165" s="4">
        <v>400000</v>
      </c>
      <c r="V165" s="6">
        <v>31.063600000000001</v>
      </c>
      <c r="W165" s="4">
        <v>353418.72</v>
      </c>
      <c r="X165" s="4">
        <v>353418.72</v>
      </c>
      <c r="Y165" s="4">
        <v>367018.72</v>
      </c>
      <c r="Z165" s="4">
        <v>367018.72</v>
      </c>
      <c r="AA165" s="4">
        <v>3.4</v>
      </c>
      <c r="AB165" s="6">
        <v>13600</v>
      </c>
      <c r="AC165" s="4">
        <v>13600</v>
      </c>
      <c r="AD165" s="4">
        <v>13600</v>
      </c>
      <c r="AE165" s="6">
        <v>0</v>
      </c>
      <c r="AF165" s="4">
        <v>0</v>
      </c>
      <c r="AG165" s="7">
        <v>20</v>
      </c>
      <c r="AH165" s="2" t="s">
        <v>97</v>
      </c>
      <c r="AI165">
        <v>0</v>
      </c>
      <c r="AJ165" s="3">
        <v>41912.6862847222</v>
      </c>
      <c r="AK165" s="2" t="s">
        <v>1834</v>
      </c>
    </row>
    <row r="166" spans="1:37" x14ac:dyDescent="0.15">
      <c r="A166" s="2" t="s">
        <v>1833</v>
      </c>
      <c r="B166">
        <v>1148</v>
      </c>
      <c r="C166" s="3">
        <v>41747</v>
      </c>
      <c r="D166" s="2" t="s">
        <v>37</v>
      </c>
      <c r="E166" s="2" t="s">
        <v>1832</v>
      </c>
      <c r="F166" s="2" t="s">
        <v>38</v>
      </c>
      <c r="G166" s="2" t="s">
        <v>370</v>
      </c>
      <c r="H166" s="2" t="s">
        <v>371</v>
      </c>
      <c r="I166" s="4">
        <v>420488.3</v>
      </c>
      <c r="J166" s="4">
        <v>0</v>
      </c>
      <c r="K166" s="4">
        <v>0</v>
      </c>
      <c r="L166" s="5"/>
      <c r="M166" s="5">
        <v>3.6</v>
      </c>
      <c r="N166" s="6">
        <v>15137.578799999999</v>
      </c>
      <c r="O166" s="4">
        <v>0</v>
      </c>
      <c r="P166" s="4">
        <v>0</v>
      </c>
      <c r="Q166" s="6">
        <v>15137.578799999999</v>
      </c>
      <c r="R166" s="4">
        <v>378000</v>
      </c>
      <c r="S166" s="4">
        <v>378000</v>
      </c>
      <c r="T166" s="4">
        <v>378000</v>
      </c>
      <c r="U166" s="4">
        <v>378000</v>
      </c>
      <c r="V166" s="6">
        <v>89.895499999999998</v>
      </c>
      <c r="W166" s="4">
        <v>318684.49</v>
      </c>
      <c r="X166" s="4">
        <v>318684.49</v>
      </c>
      <c r="Y166" s="4">
        <v>351536.49</v>
      </c>
      <c r="Z166" s="4">
        <v>351536.49</v>
      </c>
      <c r="AA166" s="4">
        <v>3.4</v>
      </c>
      <c r="AB166" s="6">
        <v>12852</v>
      </c>
      <c r="AC166" s="4">
        <v>12852</v>
      </c>
      <c r="AD166" s="4">
        <v>12852</v>
      </c>
      <c r="AE166" s="6">
        <v>0</v>
      </c>
      <c r="AF166" s="4">
        <v>0</v>
      </c>
      <c r="AG166" s="7">
        <v>5</v>
      </c>
      <c r="AH166" s="2" t="s">
        <v>97</v>
      </c>
      <c r="AI166">
        <v>0</v>
      </c>
      <c r="AJ166" s="3">
        <v>41912.6862847222</v>
      </c>
      <c r="AK166" s="2" t="s">
        <v>1831</v>
      </c>
    </row>
    <row r="167" spans="1:37" x14ac:dyDescent="0.15">
      <c r="A167" s="2" t="s">
        <v>1830</v>
      </c>
      <c r="B167">
        <v>1159</v>
      </c>
      <c r="C167" s="3">
        <v>41760</v>
      </c>
      <c r="D167" s="2" t="s">
        <v>37</v>
      </c>
      <c r="E167" s="2" t="s">
        <v>1829</v>
      </c>
      <c r="F167" s="2" t="s">
        <v>38</v>
      </c>
      <c r="G167" s="2" t="s">
        <v>376</v>
      </c>
      <c r="H167" s="2" t="s">
        <v>260</v>
      </c>
      <c r="I167" s="4">
        <v>10118443</v>
      </c>
      <c r="J167" s="4">
        <v>0</v>
      </c>
      <c r="K167" s="4">
        <v>0</v>
      </c>
      <c r="L167" s="5"/>
      <c r="M167" s="5">
        <v>3</v>
      </c>
      <c r="N167" s="6">
        <v>303553.28999999998</v>
      </c>
      <c r="O167" s="4">
        <v>100000</v>
      </c>
      <c r="P167" s="4">
        <v>100000</v>
      </c>
      <c r="Q167" s="6">
        <v>203553.29</v>
      </c>
      <c r="R167" s="4">
        <v>4800000</v>
      </c>
      <c r="S167" s="4">
        <v>4800000</v>
      </c>
      <c r="T167" s="4">
        <v>1800000</v>
      </c>
      <c r="U167" s="4">
        <v>1800000</v>
      </c>
      <c r="V167" s="6">
        <v>17.789300000000001</v>
      </c>
      <c r="W167" s="4">
        <v>1739791</v>
      </c>
      <c r="X167" s="4">
        <v>1739791</v>
      </c>
      <c r="Y167" s="4">
        <v>1800811</v>
      </c>
      <c r="Z167" s="4">
        <v>1800811</v>
      </c>
      <c r="AA167" s="4">
        <v>3.74</v>
      </c>
      <c r="AB167" s="6">
        <v>179520</v>
      </c>
      <c r="AC167" s="4">
        <v>179520</v>
      </c>
      <c r="AD167" s="4">
        <v>179520</v>
      </c>
      <c r="AE167" s="6">
        <v>0</v>
      </c>
      <c r="AF167" s="4">
        <v>0</v>
      </c>
      <c r="AG167" s="7">
        <v>132</v>
      </c>
      <c r="AH167" s="2" t="s">
        <v>66</v>
      </c>
      <c r="AI167">
        <v>0</v>
      </c>
      <c r="AJ167" s="3">
        <v>41912.6862847222</v>
      </c>
      <c r="AK167" s="2" t="s">
        <v>1828</v>
      </c>
    </row>
    <row r="168" spans="1:37" x14ac:dyDescent="0.15">
      <c r="A168" s="2" t="s">
        <v>1827</v>
      </c>
      <c r="B168">
        <v>1170</v>
      </c>
      <c r="C168" s="3">
        <v>41760</v>
      </c>
      <c r="D168" s="2" t="s">
        <v>37</v>
      </c>
      <c r="E168" s="2" t="s">
        <v>1826</v>
      </c>
      <c r="F168" s="2" t="s">
        <v>38</v>
      </c>
      <c r="G168" s="2" t="s">
        <v>1610</v>
      </c>
      <c r="H168" s="2" t="s">
        <v>1680</v>
      </c>
      <c r="I168" s="4"/>
      <c r="J168" s="4">
        <v>0</v>
      </c>
      <c r="K168" s="4">
        <v>0</v>
      </c>
      <c r="L168" s="5"/>
      <c r="M168" s="5"/>
      <c r="N168" s="6"/>
      <c r="O168" s="4">
        <v>0</v>
      </c>
      <c r="P168" s="4">
        <v>0</v>
      </c>
      <c r="Q168" s="6"/>
      <c r="R168" s="4">
        <v>0</v>
      </c>
      <c r="S168" s="4">
        <v>0</v>
      </c>
      <c r="T168" s="4">
        <v>0</v>
      </c>
      <c r="U168" s="4">
        <v>0</v>
      </c>
      <c r="V168" s="6">
        <v>0</v>
      </c>
      <c r="W168" s="4">
        <v>0</v>
      </c>
      <c r="X168" s="4">
        <v>0</v>
      </c>
      <c r="Y168" s="4">
        <v>0</v>
      </c>
      <c r="Z168" s="4">
        <v>0</v>
      </c>
      <c r="AA168" s="4"/>
      <c r="AB168" s="6">
        <v>0</v>
      </c>
      <c r="AC168" s="4">
        <v>0</v>
      </c>
      <c r="AD168" s="4">
        <v>0</v>
      </c>
      <c r="AE168" s="6">
        <v>0</v>
      </c>
      <c r="AF168" s="4">
        <v>0</v>
      </c>
      <c r="AG168" s="7">
        <v>0</v>
      </c>
      <c r="AH168" s="2" t="s">
        <v>37</v>
      </c>
      <c r="AI168">
        <v>0</v>
      </c>
      <c r="AJ168" s="3">
        <v>41912.6862847222</v>
      </c>
      <c r="AK168" s="2" t="s">
        <v>1825</v>
      </c>
    </row>
    <row r="169" spans="1:37" x14ac:dyDescent="0.15">
      <c r="A169" s="2" t="s">
        <v>1824</v>
      </c>
      <c r="B169">
        <v>1173</v>
      </c>
      <c r="C169" s="3">
        <v>41760</v>
      </c>
      <c r="D169" s="2" t="s">
        <v>37</v>
      </c>
      <c r="E169" s="2" t="s">
        <v>1823</v>
      </c>
      <c r="F169" s="2" t="s">
        <v>38</v>
      </c>
      <c r="G169" s="2" t="s">
        <v>377</v>
      </c>
      <c r="H169" s="2" t="s">
        <v>378</v>
      </c>
      <c r="I169" s="4">
        <v>769500</v>
      </c>
      <c r="J169" s="4">
        <v>0</v>
      </c>
      <c r="K169" s="4">
        <v>0</v>
      </c>
      <c r="L169" s="5"/>
      <c r="M169" s="5">
        <v>4.5999999999999996</v>
      </c>
      <c r="N169" s="6">
        <v>35397</v>
      </c>
      <c r="O169" s="4">
        <v>35397</v>
      </c>
      <c r="P169" s="4">
        <v>35397</v>
      </c>
      <c r="Q169" s="6">
        <v>0</v>
      </c>
      <c r="R169" s="4">
        <v>0</v>
      </c>
      <c r="S169" s="4">
        <v>0</v>
      </c>
      <c r="T169" s="4">
        <v>0</v>
      </c>
      <c r="U169" s="4">
        <v>0</v>
      </c>
      <c r="V169" s="6">
        <v>0</v>
      </c>
      <c r="W169" s="4">
        <v>0</v>
      </c>
      <c r="X169" s="4">
        <v>0</v>
      </c>
      <c r="Y169" s="4">
        <v>0</v>
      </c>
      <c r="Z169" s="4">
        <v>0</v>
      </c>
      <c r="AA169" s="4"/>
      <c r="AB169" s="6">
        <v>0</v>
      </c>
      <c r="AC169" s="4">
        <v>0</v>
      </c>
      <c r="AD169" s="4">
        <v>0</v>
      </c>
      <c r="AE169" s="6">
        <v>0</v>
      </c>
      <c r="AF169" s="4">
        <v>0</v>
      </c>
      <c r="AG169" s="7">
        <v>6</v>
      </c>
      <c r="AH169" s="2" t="s">
        <v>52</v>
      </c>
      <c r="AI169">
        <v>0</v>
      </c>
      <c r="AJ169" s="3">
        <v>41912.6862847222</v>
      </c>
      <c r="AK169" s="2" t="s">
        <v>1822</v>
      </c>
    </row>
    <row r="170" spans="1:37" x14ac:dyDescent="0.15">
      <c r="A170" s="2" t="s">
        <v>1821</v>
      </c>
      <c r="B170">
        <v>1169</v>
      </c>
      <c r="C170" s="3">
        <v>41760</v>
      </c>
      <c r="D170" s="2" t="s">
        <v>37</v>
      </c>
      <c r="E170" s="2" t="s">
        <v>1820</v>
      </c>
      <c r="F170" s="2" t="s">
        <v>38</v>
      </c>
      <c r="G170" s="2" t="s">
        <v>374</v>
      </c>
      <c r="H170" s="2" t="s">
        <v>375</v>
      </c>
      <c r="I170" s="4">
        <v>14986416.529999999</v>
      </c>
      <c r="J170" s="4">
        <v>0</v>
      </c>
      <c r="K170" s="4">
        <v>0</v>
      </c>
      <c r="L170" s="5"/>
      <c r="M170" s="5">
        <v>3</v>
      </c>
      <c r="N170" s="6">
        <v>449592.49589999998</v>
      </c>
      <c r="O170" s="4">
        <v>0</v>
      </c>
      <c r="P170" s="4">
        <v>0</v>
      </c>
      <c r="Q170" s="6">
        <v>449592.49589999998</v>
      </c>
      <c r="R170" s="4">
        <v>0</v>
      </c>
      <c r="S170" s="4">
        <v>0</v>
      </c>
      <c r="T170" s="4">
        <v>0</v>
      </c>
      <c r="U170" s="4">
        <v>0</v>
      </c>
      <c r="V170" s="6">
        <v>0</v>
      </c>
      <c r="W170" s="4">
        <v>0</v>
      </c>
      <c r="X170" s="4">
        <v>0</v>
      </c>
      <c r="Y170" s="4">
        <v>0</v>
      </c>
      <c r="Z170" s="4">
        <v>0</v>
      </c>
      <c r="AA170" s="4"/>
      <c r="AB170" s="6">
        <v>0</v>
      </c>
      <c r="AC170" s="4">
        <v>0</v>
      </c>
      <c r="AD170" s="4">
        <v>0</v>
      </c>
      <c r="AE170" s="6">
        <v>0</v>
      </c>
      <c r="AF170" s="4">
        <v>0</v>
      </c>
      <c r="AG170" s="7">
        <v>110</v>
      </c>
      <c r="AH170" s="2" t="s">
        <v>97</v>
      </c>
      <c r="AI170">
        <v>0</v>
      </c>
      <c r="AJ170" s="3">
        <v>41912.6862847222</v>
      </c>
      <c r="AK170" s="2" t="s">
        <v>1819</v>
      </c>
    </row>
    <row r="171" spans="1:37" x14ac:dyDescent="0.15">
      <c r="A171" s="2" t="s">
        <v>1818</v>
      </c>
      <c r="B171">
        <v>235</v>
      </c>
      <c r="C171" s="3">
        <v>41760</v>
      </c>
      <c r="D171" s="2" t="s">
        <v>37</v>
      </c>
      <c r="E171" s="2" t="s">
        <v>1817</v>
      </c>
      <c r="F171" s="2" t="s">
        <v>41</v>
      </c>
      <c r="G171" s="2" t="s">
        <v>372</v>
      </c>
      <c r="H171" s="2" t="s">
        <v>373</v>
      </c>
      <c r="I171" s="4">
        <v>50000</v>
      </c>
      <c r="J171" s="4">
        <v>0</v>
      </c>
      <c r="K171" s="4">
        <v>0</v>
      </c>
      <c r="L171" s="5"/>
      <c r="M171" s="5">
        <v>8.6</v>
      </c>
      <c r="N171" s="6">
        <v>4300</v>
      </c>
      <c r="O171" s="4">
        <v>4300</v>
      </c>
      <c r="P171" s="4">
        <v>4300</v>
      </c>
      <c r="Q171" s="6">
        <v>0</v>
      </c>
      <c r="R171" s="4">
        <v>0</v>
      </c>
      <c r="S171" s="4">
        <v>0</v>
      </c>
      <c r="T171" s="4">
        <v>40000</v>
      </c>
      <c r="U171" s="4">
        <v>40000</v>
      </c>
      <c r="V171" s="6">
        <v>80</v>
      </c>
      <c r="W171" s="4">
        <v>0</v>
      </c>
      <c r="X171" s="4">
        <v>0</v>
      </c>
      <c r="Y171" s="4">
        <v>40000</v>
      </c>
      <c r="Z171" s="4">
        <v>40000</v>
      </c>
      <c r="AA171" s="4">
        <v>3.4</v>
      </c>
      <c r="AB171" s="6">
        <v>1700</v>
      </c>
      <c r="AC171" s="4">
        <v>0</v>
      </c>
      <c r="AD171" s="4">
        <v>0</v>
      </c>
      <c r="AE171" s="6">
        <v>1700</v>
      </c>
      <c r="AF171" s="4">
        <v>0</v>
      </c>
      <c r="AG171" s="7">
        <v>0</v>
      </c>
      <c r="AH171" s="2" t="s">
        <v>37</v>
      </c>
      <c r="AI171">
        <v>0</v>
      </c>
      <c r="AJ171" s="3">
        <v>41912.6862384259</v>
      </c>
      <c r="AK171" s="2" t="s">
        <v>1816</v>
      </c>
    </row>
    <row r="172" spans="1:37" x14ac:dyDescent="0.15">
      <c r="A172" s="2" t="s">
        <v>1815</v>
      </c>
      <c r="B172">
        <v>1167</v>
      </c>
      <c r="C172" s="3">
        <v>41767</v>
      </c>
      <c r="D172" s="2" t="s">
        <v>37</v>
      </c>
      <c r="E172" s="2" t="s">
        <v>1814</v>
      </c>
      <c r="F172" s="2" t="s">
        <v>38</v>
      </c>
      <c r="G172" s="2" t="s">
        <v>379</v>
      </c>
      <c r="H172" s="2" t="s">
        <v>380</v>
      </c>
      <c r="I172" s="4">
        <v>944953.41</v>
      </c>
      <c r="J172" s="4">
        <v>0</v>
      </c>
      <c r="K172" s="4">
        <v>0</v>
      </c>
      <c r="L172" s="5"/>
      <c r="M172" s="5">
        <v>3.6</v>
      </c>
      <c r="N172" s="6">
        <v>34018.322800000002</v>
      </c>
      <c r="O172" s="4">
        <v>19298.8</v>
      </c>
      <c r="P172" s="4">
        <v>19298.8</v>
      </c>
      <c r="Q172" s="6">
        <v>14719.522800000001</v>
      </c>
      <c r="R172" s="4">
        <v>500000</v>
      </c>
      <c r="S172" s="4">
        <v>500000</v>
      </c>
      <c r="T172" s="4">
        <v>500000</v>
      </c>
      <c r="U172" s="4">
        <v>500000</v>
      </c>
      <c r="V172" s="6">
        <v>52.912700000000001</v>
      </c>
      <c r="W172" s="4">
        <v>358429.09</v>
      </c>
      <c r="X172" s="4">
        <v>358429.09</v>
      </c>
      <c r="Y172" s="4">
        <v>404563.09</v>
      </c>
      <c r="Z172" s="4">
        <v>404563.09</v>
      </c>
      <c r="AA172" s="4">
        <v>3.4</v>
      </c>
      <c r="AB172" s="6">
        <v>17000</v>
      </c>
      <c r="AC172" s="4">
        <v>10200</v>
      </c>
      <c r="AD172" s="4">
        <v>10200</v>
      </c>
      <c r="AE172" s="6">
        <v>6800</v>
      </c>
      <c r="AF172" s="4">
        <v>0</v>
      </c>
      <c r="AG172" s="7">
        <v>4</v>
      </c>
      <c r="AH172" s="2" t="s">
        <v>100</v>
      </c>
      <c r="AI172">
        <v>0</v>
      </c>
      <c r="AJ172" s="3">
        <v>41912.6862847222</v>
      </c>
      <c r="AK172" s="2" t="s">
        <v>1813</v>
      </c>
    </row>
    <row r="173" spans="1:37" x14ac:dyDescent="0.15">
      <c r="A173" s="2" t="s">
        <v>1812</v>
      </c>
      <c r="B173">
        <v>1180</v>
      </c>
      <c r="C173" s="3">
        <v>41779</v>
      </c>
      <c r="D173" s="2" t="s">
        <v>37</v>
      </c>
      <c r="E173" s="2" t="s">
        <v>1811</v>
      </c>
      <c r="F173" s="2" t="s">
        <v>38</v>
      </c>
      <c r="G173" s="2" t="s">
        <v>381</v>
      </c>
      <c r="H173" s="2" t="s">
        <v>382</v>
      </c>
      <c r="I173" s="4">
        <v>520000</v>
      </c>
      <c r="J173" s="4">
        <v>0</v>
      </c>
      <c r="K173" s="4">
        <v>0</v>
      </c>
      <c r="L173" s="5"/>
      <c r="M173" s="5">
        <v>3.6</v>
      </c>
      <c r="N173" s="6">
        <v>18720</v>
      </c>
      <c r="O173" s="4">
        <v>18720</v>
      </c>
      <c r="P173" s="4">
        <v>18720</v>
      </c>
      <c r="Q173" s="6">
        <v>0</v>
      </c>
      <c r="R173" s="4">
        <v>156000</v>
      </c>
      <c r="S173" s="4">
        <v>156000</v>
      </c>
      <c r="T173" s="4">
        <v>156000</v>
      </c>
      <c r="U173" s="4">
        <v>156000</v>
      </c>
      <c r="V173" s="6">
        <v>30</v>
      </c>
      <c r="W173" s="4">
        <v>140000</v>
      </c>
      <c r="X173" s="4">
        <v>140000</v>
      </c>
      <c r="Y173" s="4">
        <v>145304</v>
      </c>
      <c r="Z173" s="4">
        <v>145304</v>
      </c>
      <c r="AA173" s="4">
        <v>3.4</v>
      </c>
      <c r="AB173" s="6">
        <v>5304</v>
      </c>
      <c r="AC173" s="4">
        <v>5304</v>
      </c>
      <c r="AD173" s="4">
        <v>5304</v>
      </c>
      <c r="AE173" s="6">
        <v>0</v>
      </c>
      <c r="AF173" s="4">
        <v>0</v>
      </c>
      <c r="AG173" s="7">
        <v>0</v>
      </c>
      <c r="AH173" s="2" t="s">
        <v>37</v>
      </c>
      <c r="AI173">
        <v>0</v>
      </c>
      <c r="AJ173" s="3">
        <v>41912.6862847222</v>
      </c>
      <c r="AK173" s="2" t="s">
        <v>1810</v>
      </c>
    </row>
    <row r="174" spans="1:37" x14ac:dyDescent="0.15">
      <c r="A174" s="2" t="s">
        <v>1809</v>
      </c>
      <c r="B174">
        <v>1185</v>
      </c>
      <c r="C174" s="3">
        <v>41791</v>
      </c>
      <c r="D174" s="2" t="s">
        <v>37</v>
      </c>
      <c r="E174" s="2" t="s">
        <v>1808</v>
      </c>
      <c r="F174" s="2" t="s">
        <v>38</v>
      </c>
      <c r="G174" s="2" t="s">
        <v>383</v>
      </c>
      <c r="H174" s="2" t="s">
        <v>384</v>
      </c>
      <c r="I174" s="4">
        <v>14800000</v>
      </c>
      <c r="J174" s="4">
        <v>0</v>
      </c>
      <c r="K174" s="4">
        <v>0</v>
      </c>
      <c r="L174" s="5"/>
      <c r="M174" s="5"/>
      <c r="N174" s="6"/>
      <c r="O174" s="4">
        <v>0</v>
      </c>
      <c r="P174" s="4">
        <v>0</v>
      </c>
      <c r="Q174" s="6"/>
      <c r="R174" s="4">
        <v>0</v>
      </c>
      <c r="S174" s="4">
        <v>0</v>
      </c>
      <c r="T174" s="4">
        <v>3300000</v>
      </c>
      <c r="U174" s="4">
        <v>3300000</v>
      </c>
      <c r="V174" s="6">
        <v>22.2973</v>
      </c>
      <c r="W174" s="4">
        <v>1261050</v>
      </c>
      <c r="X174" s="4">
        <v>1261050</v>
      </c>
      <c r="Y174" s="4">
        <v>1261050</v>
      </c>
      <c r="Z174" s="4">
        <v>1261050</v>
      </c>
      <c r="AA174" s="4">
        <v>3.4</v>
      </c>
      <c r="AB174" s="6">
        <v>0</v>
      </c>
      <c r="AC174" s="4">
        <v>0</v>
      </c>
      <c r="AD174" s="4">
        <v>0</v>
      </c>
      <c r="AE174" s="6">
        <v>0</v>
      </c>
      <c r="AF174" s="4">
        <v>0</v>
      </c>
      <c r="AG174" s="7">
        <v>44</v>
      </c>
      <c r="AH174" s="2" t="s">
        <v>159</v>
      </c>
      <c r="AI174">
        <v>0</v>
      </c>
      <c r="AJ174" s="3">
        <v>41912.6862847222</v>
      </c>
      <c r="AK174" s="2" t="s">
        <v>1807</v>
      </c>
    </row>
    <row r="175" spans="1:37" x14ac:dyDescent="0.15">
      <c r="A175" s="2" t="s">
        <v>1806</v>
      </c>
      <c r="B175">
        <v>236</v>
      </c>
      <c r="C175" s="3">
        <v>41791</v>
      </c>
      <c r="D175" s="2" t="s">
        <v>37</v>
      </c>
      <c r="E175" s="2" t="s">
        <v>1805</v>
      </c>
      <c r="F175" s="2" t="s">
        <v>41</v>
      </c>
      <c r="G175" s="2" t="s">
        <v>385</v>
      </c>
      <c r="H175" s="2" t="s">
        <v>386</v>
      </c>
      <c r="I175" s="4">
        <v>50000</v>
      </c>
      <c r="J175" s="4">
        <v>0</v>
      </c>
      <c r="K175" s="4">
        <v>0</v>
      </c>
      <c r="L175" s="5"/>
      <c r="M175" s="5">
        <v>8.6</v>
      </c>
      <c r="N175" s="6">
        <v>4300</v>
      </c>
      <c r="O175" s="4">
        <v>0</v>
      </c>
      <c r="P175" s="4">
        <v>0</v>
      </c>
      <c r="Q175" s="6">
        <v>4300</v>
      </c>
      <c r="R175" s="4">
        <v>0</v>
      </c>
      <c r="S175" s="4">
        <v>0</v>
      </c>
      <c r="T175" s="4">
        <v>0</v>
      </c>
      <c r="U175" s="4">
        <v>0</v>
      </c>
      <c r="V175" s="6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3.4</v>
      </c>
      <c r="AB175" s="6">
        <v>1700</v>
      </c>
      <c r="AC175" s="4">
        <v>0</v>
      </c>
      <c r="AD175" s="4">
        <v>0</v>
      </c>
      <c r="AE175" s="6">
        <v>1700</v>
      </c>
      <c r="AF175" s="4">
        <v>0</v>
      </c>
      <c r="AG175" s="7">
        <v>0</v>
      </c>
      <c r="AH175" s="2" t="s">
        <v>37</v>
      </c>
      <c r="AI175">
        <v>0</v>
      </c>
      <c r="AJ175" s="3">
        <v>41912.6862384259</v>
      </c>
      <c r="AK175" s="2" t="s">
        <v>1804</v>
      </c>
    </row>
    <row r="176" spans="1:37" x14ac:dyDescent="0.15">
      <c r="A176" s="2" t="s">
        <v>1803</v>
      </c>
      <c r="B176">
        <v>1188</v>
      </c>
      <c r="C176" s="3">
        <v>41791</v>
      </c>
      <c r="D176" s="2" t="s">
        <v>37</v>
      </c>
      <c r="E176" s="2" t="s">
        <v>1802</v>
      </c>
      <c r="F176" s="2" t="s">
        <v>38</v>
      </c>
      <c r="G176" s="2" t="s">
        <v>387</v>
      </c>
      <c r="H176" s="2" t="s">
        <v>388</v>
      </c>
      <c r="I176" s="4">
        <v>3326070</v>
      </c>
      <c r="J176" s="4">
        <v>0</v>
      </c>
      <c r="K176" s="4">
        <v>0</v>
      </c>
      <c r="L176" s="5"/>
      <c r="M176" s="5">
        <v>3.6</v>
      </c>
      <c r="N176" s="6">
        <v>119738.52</v>
      </c>
      <c r="O176" s="4">
        <v>0</v>
      </c>
      <c r="P176" s="4">
        <v>0</v>
      </c>
      <c r="Q176" s="6">
        <v>119738.52</v>
      </c>
      <c r="R176" s="4">
        <v>300000</v>
      </c>
      <c r="S176" s="4">
        <v>300000</v>
      </c>
      <c r="T176" s="4">
        <v>0</v>
      </c>
      <c r="U176" s="4">
        <v>0</v>
      </c>
      <c r="V176" s="6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3.4</v>
      </c>
      <c r="AB176" s="6">
        <v>10200</v>
      </c>
      <c r="AC176" s="4">
        <v>0</v>
      </c>
      <c r="AD176" s="4">
        <v>0</v>
      </c>
      <c r="AE176" s="6">
        <v>10200</v>
      </c>
      <c r="AF176" s="4">
        <v>0</v>
      </c>
      <c r="AG176" s="7">
        <v>35</v>
      </c>
      <c r="AH176" s="2" t="s">
        <v>52</v>
      </c>
      <c r="AI176">
        <v>0</v>
      </c>
      <c r="AJ176" s="3">
        <v>41912.6862847222</v>
      </c>
      <c r="AK176" s="2" t="s">
        <v>1801</v>
      </c>
    </row>
    <row r="177" spans="1:37" x14ac:dyDescent="0.15">
      <c r="A177" s="2" t="s">
        <v>1800</v>
      </c>
      <c r="B177">
        <v>1196</v>
      </c>
      <c r="C177" s="3">
        <v>41820</v>
      </c>
      <c r="D177" s="2" t="s">
        <v>37</v>
      </c>
      <c r="E177" s="2" t="s">
        <v>1799</v>
      </c>
      <c r="F177" s="2" t="s">
        <v>38</v>
      </c>
      <c r="G177" s="2" t="s">
        <v>389</v>
      </c>
      <c r="H177" s="2" t="s">
        <v>390</v>
      </c>
      <c r="I177" s="4">
        <v>5305357.5999999996</v>
      </c>
      <c r="J177" s="4">
        <v>0</v>
      </c>
      <c r="K177" s="4">
        <v>0</v>
      </c>
      <c r="L177" s="5"/>
      <c r="M177" s="5">
        <v>3</v>
      </c>
      <c r="N177" s="6">
        <v>159160.728</v>
      </c>
      <c r="O177" s="4">
        <v>100000</v>
      </c>
      <c r="P177" s="4">
        <v>100000</v>
      </c>
      <c r="Q177" s="6">
        <v>59160.728000000003</v>
      </c>
      <c r="R177" s="4">
        <v>1060000</v>
      </c>
      <c r="S177" s="4">
        <v>1060000</v>
      </c>
      <c r="T177" s="4">
        <v>1060000</v>
      </c>
      <c r="U177" s="4">
        <v>1060000</v>
      </c>
      <c r="V177" s="6">
        <v>19.979800000000001</v>
      </c>
      <c r="W177" s="4">
        <v>356366.43</v>
      </c>
      <c r="X177" s="4">
        <v>356366.43</v>
      </c>
      <c r="Y177" s="4">
        <v>428446.43</v>
      </c>
      <c r="Z177" s="4">
        <v>428446.43</v>
      </c>
      <c r="AA177" s="4">
        <v>3.4</v>
      </c>
      <c r="AB177" s="6">
        <v>36040</v>
      </c>
      <c r="AC177" s="4">
        <v>36040</v>
      </c>
      <c r="AD177" s="4">
        <v>36040</v>
      </c>
      <c r="AE177" s="6">
        <v>0</v>
      </c>
      <c r="AF177" s="4">
        <v>0</v>
      </c>
      <c r="AG177" s="7">
        <v>72</v>
      </c>
      <c r="AH177" s="2" t="s">
        <v>97</v>
      </c>
      <c r="AI177">
        <v>0</v>
      </c>
      <c r="AJ177" s="3">
        <v>41912.6862847222</v>
      </c>
      <c r="AK177" s="2" t="s">
        <v>1798</v>
      </c>
    </row>
    <row r="178" spans="1:37" x14ac:dyDescent="0.15">
      <c r="A178" s="2" t="s">
        <v>1797</v>
      </c>
      <c r="B178">
        <v>252</v>
      </c>
      <c r="C178" s="3">
        <v>41821</v>
      </c>
      <c r="D178" s="2" t="s">
        <v>37</v>
      </c>
      <c r="E178" s="2" t="s">
        <v>1796</v>
      </c>
      <c r="F178" s="2" t="s">
        <v>41</v>
      </c>
      <c r="G178" s="2" t="s">
        <v>403</v>
      </c>
      <c r="H178" s="2" t="s">
        <v>404</v>
      </c>
      <c r="I178" s="4">
        <v>1826701.83</v>
      </c>
      <c r="J178" s="4">
        <v>0</v>
      </c>
      <c r="K178" s="4">
        <v>0</v>
      </c>
      <c r="L178" s="5"/>
      <c r="M178" s="5">
        <v>8.6</v>
      </c>
      <c r="N178" s="6">
        <v>157096.35740000001</v>
      </c>
      <c r="O178" s="4">
        <v>78548.179999999993</v>
      </c>
      <c r="P178" s="4">
        <v>78548.179999999993</v>
      </c>
      <c r="Q178" s="6">
        <v>78548.1774</v>
      </c>
      <c r="R178" s="4">
        <v>0</v>
      </c>
      <c r="S178" s="4">
        <v>0</v>
      </c>
      <c r="T178" s="4">
        <v>365340.36</v>
      </c>
      <c r="U178" s="4">
        <v>365340.36</v>
      </c>
      <c r="V178" s="6">
        <v>20</v>
      </c>
      <c r="W178" s="4">
        <v>0</v>
      </c>
      <c r="X178" s="4">
        <v>0</v>
      </c>
      <c r="Y178" s="4">
        <v>365340.36</v>
      </c>
      <c r="Z178" s="4">
        <v>365340.36</v>
      </c>
      <c r="AA178" s="4">
        <v>3.4</v>
      </c>
      <c r="AB178" s="6">
        <v>62107.862200000003</v>
      </c>
      <c r="AC178" s="4">
        <v>0</v>
      </c>
      <c r="AD178" s="4">
        <v>0</v>
      </c>
      <c r="AE178" s="6">
        <v>62107.862200000003</v>
      </c>
      <c r="AF178" s="4">
        <v>0</v>
      </c>
      <c r="AG178" s="7">
        <v>0</v>
      </c>
      <c r="AH178" s="2" t="s">
        <v>37</v>
      </c>
      <c r="AI178">
        <v>0</v>
      </c>
      <c r="AJ178" s="3">
        <v>41912.6862384259</v>
      </c>
      <c r="AK178" s="2" t="s">
        <v>1795</v>
      </c>
    </row>
    <row r="179" spans="1:37" x14ac:dyDescent="0.15">
      <c r="A179" s="2" t="s">
        <v>1794</v>
      </c>
      <c r="B179">
        <v>262</v>
      </c>
      <c r="C179" s="3">
        <v>41821</v>
      </c>
      <c r="D179" s="2" t="s">
        <v>37</v>
      </c>
      <c r="E179" s="2" t="s">
        <v>1793</v>
      </c>
      <c r="F179" s="2" t="s">
        <v>41</v>
      </c>
      <c r="G179" s="2" t="s">
        <v>405</v>
      </c>
      <c r="H179" s="2" t="s">
        <v>406</v>
      </c>
      <c r="I179" s="4">
        <v>882200</v>
      </c>
      <c r="J179" s="4">
        <v>0</v>
      </c>
      <c r="K179" s="4">
        <v>0</v>
      </c>
      <c r="L179" s="5"/>
      <c r="M179" s="5">
        <v>8.6</v>
      </c>
      <c r="N179" s="6">
        <v>75869.2</v>
      </c>
      <c r="O179" s="4">
        <v>37934.6</v>
      </c>
      <c r="P179" s="4">
        <v>37934.6</v>
      </c>
      <c r="Q179" s="6">
        <v>37934.6</v>
      </c>
      <c r="R179" s="4">
        <v>0</v>
      </c>
      <c r="S179" s="4">
        <v>0</v>
      </c>
      <c r="T179" s="4">
        <v>176440</v>
      </c>
      <c r="U179" s="4">
        <v>176440</v>
      </c>
      <c r="V179" s="6">
        <v>20</v>
      </c>
      <c r="W179" s="4">
        <v>0</v>
      </c>
      <c r="X179" s="4">
        <v>0</v>
      </c>
      <c r="Y179" s="4">
        <v>176440</v>
      </c>
      <c r="Z179" s="4">
        <v>176440</v>
      </c>
      <c r="AA179" s="4">
        <v>3.4</v>
      </c>
      <c r="AB179" s="6">
        <v>29994.799999999999</v>
      </c>
      <c r="AC179" s="4">
        <v>0</v>
      </c>
      <c r="AD179" s="4">
        <v>0</v>
      </c>
      <c r="AE179" s="6">
        <v>29994.799999999999</v>
      </c>
      <c r="AF179" s="4">
        <v>0</v>
      </c>
      <c r="AG179" s="7">
        <v>0</v>
      </c>
      <c r="AH179" s="2" t="s">
        <v>37</v>
      </c>
      <c r="AI179">
        <v>0</v>
      </c>
      <c r="AJ179" s="3">
        <v>41912.6862384259</v>
      </c>
      <c r="AK179" s="2" t="s">
        <v>1792</v>
      </c>
    </row>
    <row r="180" spans="1:37" x14ac:dyDescent="0.15">
      <c r="A180" s="2" t="s">
        <v>1791</v>
      </c>
      <c r="B180">
        <v>271</v>
      </c>
      <c r="C180" s="3">
        <v>41821</v>
      </c>
      <c r="D180" s="2" t="s">
        <v>37</v>
      </c>
      <c r="E180" s="2" t="s">
        <v>1790</v>
      </c>
      <c r="F180" s="2" t="s">
        <v>41</v>
      </c>
      <c r="G180" s="2" t="s">
        <v>407</v>
      </c>
      <c r="H180" s="2" t="s">
        <v>408</v>
      </c>
      <c r="I180" s="4">
        <v>1800000</v>
      </c>
      <c r="J180" s="4">
        <v>0</v>
      </c>
      <c r="K180" s="4">
        <v>0</v>
      </c>
      <c r="L180" s="5"/>
      <c r="M180" s="5">
        <v>8.6</v>
      </c>
      <c r="N180" s="6">
        <v>154800</v>
      </c>
      <c r="O180" s="4">
        <v>77400</v>
      </c>
      <c r="P180" s="4">
        <v>77400</v>
      </c>
      <c r="Q180" s="6">
        <v>77400</v>
      </c>
      <c r="R180" s="4">
        <v>0</v>
      </c>
      <c r="S180" s="4">
        <v>0</v>
      </c>
      <c r="T180" s="4">
        <v>360000</v>
      </c>
      <c r="U180" s="4">
        <v>360000</v>
      </c>
      <c r="V180" s="6">
        <v>20</v>
      </c>
      <c r="W180" s="4">
        <v>0</v>
      </c>
      <c r="X180" s="4">
        <v>0</v>
      </c>
      <c r="Y180" s="4">
        <v>360000</v>
      </c>
      <c r="Z180" s="4">
        <v>360000</v>
      </c>
      <c r="AA180" s="4">
        <v>3.4</v>
      </c>
      <c r="AB180" s="6">
        <v>61200</v>
      </c>
      <c r="AC180" s="4">
        <v>0</v>
      </c>
      <c r="AD180" s="4">
        <v>0</v>
      </c>
      <c r="AE180" s="6">
        <v>61200</v>
      </c>
      <c r="AF180" s="4">
        <v>0</v>
      </c>
      <c r="AG180" s="7">
        <v>0</v>
      </c>
      <c r="AH180" s="2" t="s">
        <v>37</v>
      </c>
      <c r="AI180">
        <v>0</v>
      </c>
      <c r="AJ180" s="3">
        <v>41912.686249999999</v>
      </c>
      <c r="AK180" s="2" t="s">
        <v>1789</v>
      </c>
    </row>
    <row r="181" spans="1:37" x14ac:dyDescent="0.15">
      <c r="A181" s="2" t="s">
        <v>1788</v>
      </c>
      <c r="B181">
        <v>282</v>
      </c>
      <c r="C181" s="3">
        <v>41821</v>
      </c>
      <c r="D181" s="2" t="s">
        <v>37</v>
      </c>
      <c r="E181" s="2" t="s">
        <v>1787</v>
      </c>
      <c r="F181" s="2" t="s">
        <v>41</v>
      </c>
      <c r="G181" s="2" t="s">
        <v>413</v>
      </c>
      <c r="H181" s="2" t="s">
        <v>414</v>
      </c>
      <c r="I181" s="4">
        <v>80000</v>
      </c>
      <c r="J181" s="4">
        <v>0</v>
      </c>
      <c r="K181" s="4">
        <v>0</v>
      </c>
      <c r="L181" s="5"/>
      <c r="M181" s="5">
        <v>8.6</v>
      </c>
      <c r="N181" s="6">
        <v>6880</v>
      </c>
      <c r="O181" s="4">
        <v>0</v>
      </c>
      <c r="P181" s="4">
        <v>0</v>
      </c>
      <c r="Q181" s="6">
        <v>6880</v>
      </c>
      <c r="R181" s="4">
        <v>0</v>
      </c>
      <c r="S181" s="4">
        <v>0</v>
      </c>
      <c r="T181" s="4">
        <v>0</v>
      </c>
      <c r="U181" s="4">
        <v>0</v>
      </c>
      <c r="V181" s="6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3.4</v>
      </c>
      <c r="AB181" s="6">
        <v>2720</v>
      </c>
      <c r="AC181" s="4">
        <v>0</v>
      </c>
      <c r="AD181" s="4">
        <v>0</v>
      </c>
      <c r="AE181" s="6">
        <v>2720</v>
      </c>
      <c r="AF181" s="4">
        <v>0</v>
      </c>
      <c r="AG181" s="7">
        <v>0</v>
      </c>
      <c r="AH181" s="2" t="s">
        <v>37</v>
      </c>
      <c r="AI181">
        <v>0</v>
      </c>
      <c r="AJ181" s="3">
        <v>41912.686249999999</v>
      </c>
      <c r="AK181" s="2" t="s">
        <v>1786</v>
      </c>
    </row>
    <row r="182" spans="1:37" x14ac:dyDescent="0.15">
      <c r="A182" s="2" t="s">
        <v>1785</v>
      </c>
      <c r="B182">
        <v>277</v>
      </c>
      <c r="C182" s="3">
        <v>41821</v>
      </c>
      <c r="D182" s="2" t="s">
        <v>37</v>
      </c>
      <c r="E182" s="2" t="s">
        <v>1784</v>
      </c>
      <c r="F182" s="2" t="s">
        <v>41</v>
      </c>
      <c r="G182" s="2" t="s">
        <v>409</v>
      </c>
      <c r="H182" s="2" t="s">
        <v>410</v>
      </c>
      <c r="I182" s="4">
        <v>9298739</v>
      </c>
      <c r="J182" s="4">
        <v>0</v>
      </c>
      <c r="K182" s="4">
        <v>0</v>
      </c>
      <c r="L182" s="5"/>
      <c r="M182" s="5">
        <v>3</v>
      </c>
      <c r="N182" s="6">
        <v>278962.17</v>
      </c>
      <c r="O182" s="4">
        <v>0</v>
      </c>
      <c r="P182" s="4">
        <v>0</v>
      </c>
      <c r="Q182" s="6">
        <v>278962.17</v>
      </c>
      <c r="R182" s="4">
        <v>0</v>
      </c>
      <c r="S182" s="4">
        <v>0</v>
      </c>
      <c r="T182" s="4">
        <v>0</v>
      </c>
      <c r="U182" s="4">
        <v>0</v>
      </c>
      <c r="V182" s="6">
        <v>0</v>
      </c>
      <c r="W182" s="4">
        <v>0</v>
      </c>
      <c r="X182" s="4">
        <v>0</v>
      </c>
      <c r="Y182" s="4">
        <v>0</v>
      </c>
      <c r="Z182" s="4">
        <v>0</v>
      </c>
      <c r="AA182" s="4"/>
      <c r="AB182" s="6">
        <v>0</v>
      </c>
      <c r="AC182" s="4">
        <v>0</v>
      </c>
      <c r="AD182" s="4">
        <v>0</v>
      </c>
      <c r="AE182" s="6">
        <v>0</v>
      </c>
      <c r="AF182" s="4">
        <v>0</v>
      </c>
      <c r="AG182" s="7">
        <v>0</v>
      </c>
      <c r="AH182" s="2" t="s">
        <v>37</v>
      </c>
      <c r="AI182">
        <v>0</v>
      </c>
      <c r="AJ182" s="3">
        <v>41912.686249999999</v>
      </c>
      <c r="AK182" s="2" t="s">
        <v>1783</v>
      </c>
    </row>
    <row r="183" spans="1:37" x14ac:dyDescent="0.15">
      <c r="A183" s="2" t="s">
        <v>1782</v>
      </c>
      <c r="B183">
        <v>288</v>
      </c>
      <c r="C183" s="3">
        <v>41821</v>
      </c>
      <c r="D183" s="2" t="s">
        <v>37</v>
      </c>
      <c r="E183" s="2" t="s">
        <v>1781</v>
      </c>
      <c r="F183" s="2" t="s">
        <v>41</v>
      </c>
      <c r="G183" s="2" t="s">
        <v>415</v>
      </c>
      <c r="H183" s="2" t="s">
        <v>416</v>
      </c>
      <c r="I183" s="4">
        <v>45000</v>
      </c>
      <c r="J183" s="4">
        <v>0</v>
      </c>
      <c r="K183" s="4">
        <v>0</v>
      </c>
      <c r="L183" s="5"/>
      <c r="M183" s="5">
        <v>8.6</v>
      </c>
      <c r="N183" s="6">
        <v>3870</v>
      </c>
      <c r="O183" s="4">
        <v>0</v>
      </c>
      <c r="P183" s="4">
        <v>0</v>
      </c>
      <c r="Q183" s="6">
        <v>3870</v>
      </c>
      <c r="R183" s="4">
        <v>0</v>
      </c>
      <c r="S183" s="4">
        <v>0</v>
      </c>
      <c r="T183" s="4">
        <v>0</v>
      </c>
      <c r="U183" s="4">
        <v>0</v>
      </c>
      <c r="V183" s="6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3.4</v>
      </c>
      <c r="AB183" s="6">
        <v>1530</v>
      </c>
      <c r="AC183" s="4">
        <v>0</v>
      </c>
      <c r="AD183" s="4">
        <v>0</v>
      </c>
      <c r="AE183" s="6">
        <v>1530</v>
      </c>
      <c r="AF183" s="4">
        <v>0</v>
      </c>
      <c r="AG183" s="7">
        <v>0</v>
      </c>
      <c r="AH183" s="2" t="s">
        <v>37</v>
      </c>
      <c r="AI183">
        <v>0</v>
      </c>
      <c r="AJ183" s="3">
        <v>41912.686249999999</v>
      </c>
      <c r="AK183" s="2" t="s">
        <v>1780</v>
      </c>
    </row>
    <row r="184" spans="1:37" x14ac:dyDescent="0.15">
      <c r="A184" s="2" t="s">
        <v>1779</v>
      </c>
      <c r="B184">
        <v>1199</v>
      </c>
      <c r="C184" s="3">
        <v>41821</v>
      </c>
      <c r="D184" s="2" t="s">
        <v>37</v>
      </c>
      <c r="E184" s="2" t="s">
        <v>1778</v>
      </c>
      <c r="F184" s="2" t="s">
        <v>38</v>
      </c>
      <c r="G184" s="2" t="s">
        <v>411</v>
      </c>
      <c r="H184" s="2" t="s">
        <v>412</v>
      </c>
      <c r="I184" s="4">
        <v>743283</v>
      </c>
      <c r="J184" s="4">
        <v>0</v>
      </c>
      <c r="K184" s="4">
        <v>0</v>
      </c>
      <c r="L184" s="5"/>
      <c r="M184" s="5">
        <v>3.6</v>
      </c>
      <c r="N184" s="6">
        <v>26758.187999999998</v>
      </c>
      <c r="O184" s="4">
        <v>0</v>
      </c>
      <c r="P184" s="4">
        <v>0</v>
      </c>
      <c r="Q184" s="6">
        <v>26758.187999999998</v>
      </c>
      <c r="R184" s="4">
        <v>631790.55000000005</v>
      </c>
      <c r="S184" s="4">
        <v>631790.55000000005</v>
      </c>
      <c r="T184" s="4">
        <v>0</v>
      </c>
      <c r="U184" s="4">
        <v>0</v>
      </c>
      <c r="V184" s="6">
        <v>0</v>
      </c>
      <c r="W184" s="4">
        <v>0</v>
      </c>
      <c r="X184" s="4">
        <v>0</v>
      </c>
      <c r="Y184" s="4">
        <v>0</v>
      </c>
      <c r="Z184" s="4">
        <v>0</v>
      </c>
      <c r="AA184" s="4"/>
      <c r="AB184" s="6"/>
      <c r="AC184" s="4">
        <v>0</v>
      </c>
      <c r="AD184" s="4">
        <v>0</v>
      </c>
      <c r="AE184" s="6"/>
      <c r="AF184" s="4">
        <v>0</v>
      </c>
      <c r="AG184" s="7">
        <v>10</v>
      </c>
      <c r="AH184" s="2" t="s">
        <v>97</v>
      </c>
      <c r="AI184">
        <v>0</v>
      </c>
      <c r="AJ184" s="3">
        <v>41912.6862847222</v>
      </c>
      <c r="AK184" s="2" t="s">
        <v>1777</v>
      </c>
    </row>
    <row r="185" spans="1:37" x14ac:dyDescent="0.15">
      <c r="A185" s="2" t="s">
        <v>1776</v>
      </c>
      <c r="B185">
        <v>295</v>
      </c>
      <c r="C185" s="3">
        <v>41821</v>
      </c>
      <c r="D185" s="2" t="s">
        <v>37</v>
      </c>
      <c r="E185" s="2" t="s">
        <v>1775</v>
      </c>
      <c r="F185" s="2" t="s">
        <v>41</v>
      </c>
      <c r="G185" s="2" t="s">
        <v>421</v>
      </c>
      <c r="H185" s="2" t="s">
        <v>422</v>
      </c>
      <c r="I185" s="4">
        <v>737750</v>
      </c>
      <c r="J185" s="4">
        <v>0</v>
      </c>
      <c r="K185" s="4">
        <v>0</v>
      </c>
      <c r="L185" s="5"/>
      <c r="M185" s="5">
        <v>8.6</v>
      </c>
      <c r="N185" s="6">
        <v>63446.5</v>
      </c>
      <c r="O185" s="4">
        <v>0</v>
      </c>
      <c r="P185" s="4">
        <v>0</v>
      </c>
      <c r="Q185" s="6">
        <v>63446.5</v>
      </c>
      <c r="R185" s="4">
        <v>0</v>
      </c>
      <c r="S185" s="4">
        <v>0</v>
      </c>
      <c r="T185" s="4">
        <v>0</v>
      </c>
      <c r="U185" s="4">
        <v>0</v>
      </c>
      <c r="V185" s="6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3.4</v>
      </c>
      <c r="AB185" s="6">
        <v>25083.5</v>
      </c>
      <c r="AC185" s="4">
        <v>0</v>
      </c>
      <c r="AD185" s="4">
        <v>0</v>
      </c>
      <c r="AE185" s="6">
        <v>25083.5</v>
      </c>
      <c r="AF185" s="4">
        <v>0</v>
      </c>
      <c r="AG185" s="7">
        <v>0</v>
      </c>
      <c r="AH185" s="2" t="s">
        <v>37</v>
      </c>
      <c r="AI185">
        <v>0</v>
      </c>
      <c r="AJ185" s="3">
        <v>41912.686249999999</v>
      </c>
      <c r="AK185" s="2" t="s">
        <v>1774</v>
      </c>
    </row>
    <row r="186" spans="1:37" x14ac:dyDescent="0.15">
      <c r="A186" s="2" t="s">
        <v>1773</v>
      </c>
      <c r="B186">
        <v>303</v>
      </c>
      <c r="C186" s="3">
        <v>41821</v>
      </c>
      <c r="D186" s="2" t="s">
        <v>37</v>
      </c>
      <c r="E186" s="2" t="s">
        <v>1772</v>
      </c>
      <c r="F186" s="2" t="s">
        <v>41</v>
      </c>
      <c r="G186" s="2" t="s">
        <v>419</v>
      </c>
      <c r="H186" s="2" t="s">
        <v>420</v>
      </c>
      <c r="I186" s="4">
        <v>660000</v>
      </c>
      <c r="J186" s="4">
        <v>0</v>
      </c>
      <c r="K186" s="4">
        <v>0</v>
      </c>
      <c r="L186" s="5"/>
      <c r="M186" s="5">
        <v>3.6</v>
      </c>
      <c r="N186" s="6">
        <v>23760</v>
      </c>
      <c r="O186" s="4">
        <v>0</v>
      </c>
      <c r="P186" s="4">
        <v>0</v>
      </c>
      <c r="Q186" s="6">
        <v>23760</v>
      </c>
      <c r="R186" s="4">
        <v>0</v>
      </c>
      <c r="S186" s="4">
        <v>0</v>
      </c>
      <c r="T186" s="4">
        <v>198000</v>
      </c>
      <c r="U186" s="4">
        <v>198000</v>
      </c>
      <c r="V186" s="6">
        <v>30</v>
      </c>
      <c r="W186" s="4">
        <v>0</v>
      </c>
      <c r="X186" s="4">
        <v>0</v>
      </c>
      <c r="Y186" s="4">
        <v>151800</v>
      </c>
      <c r="Z186" s="4">
        <v>151800</v>
      </c>
      <c r="AA186" s="4">
        <v>3.4</v>
      </c>
      <c r="AB186" s="6">
        <v>22440</v>
      </c>
      <c r="AC186" s="4">
        <v>6732</v>
      </c>
      <c r="AD186" s="4">
        <v>6732</v>
      </c>
      <c r="AE186" s="6">
        <v>15708</v>
      </c>
      <c r="AF186" s="4">
        <v>0</v>
      </c>
      <c r="AG186" s="7">
        <v>0</v>
      </c>
      <c r="AH186" s="2" t="s">
        <v>37</v>
      </c>
      <c r="AI186">
        <v>0</v>
      </c>
      <c r="AJ186" s="3">
        <v>41912.686249999999</v>
      </c>
      <c r="AK186" s="2" t="s">
        <v>1771</v>
      </c>
    </row>
    <row r="187" spans="1:37" x14ac:dyDescent="0.15">
      <c r="A187" s="2" t="s">
        <v>1770</v>
      </c>
      <c r="B187">
        <v>1216</v>
      </c>
      <c r="C187" s="3">
        <v>41821</v>
      </c>
      <c r="D187" s="2" t="s">
        <v>37</v>
      </c>
      <c r="E187" s="2" t="s">
        <v>1769</v>
      </c>
      <c r="F187" s="2" t="s">
        <v>38</v>
      </c>
      <c r="G187" s="2" t="s">
        <v>397</v>
      </c>
      <c r="H187" s="2" t="s">
        <v>398</v>
      </c>
      <c r="I187" s="4">
        <v>1758061</v>
      </c>
      <c r="J187" s="4">
        <v>0</v>
      </c>
      <c r="K187" s="4">
        <v>0</v>
      </c>
      <c r="L187" s="5"/>
      <c r="M187" s="5">
        <v>3.6</v>
      </c>
      <c r="N187" s="6">
        <v>63290.196000000004</v>
      </c>
      <c r="O187" s="4">
        <v>0</v>
      </c>
      <c r="P187" s="4">
        <v>0</v>
      </c>
      <c r="Q187" s="6">
        <v>63290.196000000004</v>
      </c>
      <c r="R187" s="4">
        <v>527418.30000000005</v>
      </c>
      <c r="S187" s="4">
        <v>527418.30000000005</v>
      </c>
      <c r="T187" s="4">
        <v>0</v>
      </c>
      <c r="U187" s="4">
        <v>0</v>
      </c>
      <c r="V187" s="6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3.4</v>
      </c>
      <c r="AB187" s="6">
        <v>17932.2222</v>
      </c>
      <c r="AC187" s="4">
        <v>0</v>
      </c>
      <c r="AD187" s="4">
        <v>0</v>
      </c>
      <c r="AE187" s="6">
        <v>17932.2222</v>
      </c>
      <c r="AF187" s="4">
        <v>0</v>
      </c>
      <c r="AG187" s="7">
        <v>0</v>
      </c>
      <c r="AH187" s="2" t="s">
        <v>37</v>
      </c>
      <c r="AI187">
        <v>0</v>
      </c>
      <c r="AJ187" s="3">
        <v>41912.6862847222</v>
      </c>
      <c r="AK187" s="2" t="s">
        <v>1768</v>
      </c>
    </row>
    <row r="188" spans="1:37" x14ac:dyDescent="0.15">
      <c r="A188" s="2" t="s">
        <v>1767</v>
      </c>
      <c r="B188">
        <v>308</v>
      </c>
      <c r="C188" s="3">
        <v>41821</v>
      </c>
      <c r="D188" s="2" t="s">
        <v>37</v>
      </c>
      <c r="E188" s="2" t="s">
        <v>1766</v>
      </c>
      <c r="F188" s="2" t="s">
        <v>41</v>
      </c>
      <c r="G188" s="2" t="s">
        <v>423</v>
      </c>
      <c r="H188" s="2" t="s">
        <v>424</v>
      </c>
      <c r="I188" s="4">
        <v>65000</v>
      </c>
      <c r="J188" s="4">
        <v>0</v>
      </c>
      <c r="K188" s="4">
        <v>0</v>
      </c>
      <c r="L188" s="5"/>
      <c r="M188" s="5">
        <v>8.6</v>
      </c>
      <c r="N188" s="6">
        <v>5590</v>
      </c>
      <c r="O188" s="4">
        <v>0</v>
      </c>
      <c r="P188" s="4">
        <v>0</v>
      </c>
      <c r="Q188" s="6">
        <v>5590</v>
      </c>
      <c r="R188" s="4">
        <v>0</v>
      </c>
      <c r="S188" s="4">
        <v>0</v>
      </c>
      <c r="T188" s="4">
        <v>0</v>
      </c>
      <c r="U188" s="4">
        <v>0</v>
      </c>
      <c r="V188" s="6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3.4</v>
      </c>
      <c r="AB188" s="6">
        <v>2210</v>
      </c>
      <c r="AC188" s="4">
        <v>0</v>
      </c>
      <c r="AD188" s="4">
        <v>0</v>
      </c>
      <c r="AE188" s="6">
        <v>2210</v>
      </c>
      <c r="AF188" s="4">
        <v>0</v>
      </c>
      <c r="AG188" s="7">
        <v>0</v>
      </c>
      <c r="AH188" s="2" t="s">
        <v>37</v>
      </c>
      <c r="AI188">
        <v>0</v>
      </c>
      <c r="AJ188" s="3">
        <v>41912.686249999999</v>
      </c>
      <c r="AK188" s="2" t="s">
        <v>1765</v>
      </c>
    </row>
    <row r="189" spans="1:37" x14ac:dyDescent="0.15">
      <c r="A189" s="2" t="s">
        <v>1764</v>
      </c>
      <c r="B189">
        <v>253</v>
      </c>
      <c r="C189" s="3">
        <v>41821</v>
      </c>
      <c r="D189" s="2" t="s">
        <v>37</v>
      </c>
      <c r="E189" s="2" t="s">
        <v>1763</v>
      </c>
      <c r="F189" s="2" t="s">
        <v>41</v>
      </c>
      <c r="G189" s="2" t="s">
        <v>427</v>
      </c>
      <c r="H189" s="2" t="s">
        <v>428</v>
      </c>
      <c r="I189" s="4">
        <v>23840000</v>
      </c>
      <c r="J189" s="4">
        <v>0</v>
      </c>
      <c r="K189" s="4">
        <v>0</v>
      </c>
      <c r="L189" s="5"/>
      <c r="M189" s="5">
        <v>3</v>
      </c>
      <c r="N189" s="6">
        <v>715200</v>
      </c>
      <c r="O189" s="4">
        <v>0</v>
      </c>
      <c r="P189" s="4">
        <v>0</v>
      </c>
      <c r="Q189" s="6">
        <v>715200</v>
      </c>
      <c r="R189" s="4">
        <v>0</v>
      </c>
      <c r="S189" s="4">
        <v>0</v>
      </c>
      <c r="T189" s="4">
        <v>0</v>
      </c>
      <c r="U189" s="4">
        <v>0</v>
      </c>
      <c r="V189" s="6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3.4</v>
      </c>
      <c r="AB189" s="6">
        <v>810560</v>
      </c>
      <c r="AC189" s="4">
        <v>0</v>
      </c>
      <c r="AD189" s="4">
        <v>0</v>
      </c>
      <c r="AE189" s="6">
        <v>810560</v>
      </c>
      <c r="AF189" s="4">
        <v>0</v>
      </c>
      <c r="AG189" s="7">
        <v>0</v>
      </c>
      <c r="AH189" s="2" t="s">
        <v>37</v>
      </c>
      <c r="AI189">
        <v>0</v>
      </c>
      <c r="AJ189" s="3">
        <v>41912.6862384259</v>
      </c>
      <c r="AK189" s="2" t="s">
        <v>1762</v>
      </c>
    </row>
    <row r="190" spans="1:37" x14ac:dyDescent="0.15">
      <c r="A190" s="2" t="s">
        <v>1761</v>
      </c>
      <c r="B190">
        <v>244</v>
      </c>
      <c r="C190" s="3">
        <v>41821</v>
      </c>
      <c r="D190" s="2" t="s">
        <v>37</v>
      </c>
      <c r="E190" s="2" t="s">
        <v>1760</v>
      </c>
      <c r="F190" s="2" t="s">
        <v>41</v>
      </c>
      <c r="G190" s="2" t="s">
        <v>425</v>
      </c>
      <c r="H190" s="2" t="s">
        <v>426</v>
      </c>
      <c r="I190" s="4">
        <v>630000</v>
      </c>
      <c r="J190" s="4">
        <v>0</v>
      </c>
      <c r="K190" s="4">
        <v>0</v>
      </c>
      <c r="L190" s="5"/>
      <c r="M190" s="5">
        <v>8.6</v>
      </c>
      <c r="N190" s="6">
        <v>54180</v>
      </c>
      <c r="O190" s="4">
        <v>54180</v>
      </c>
      <c r="P190" s="4">
        <v>54180</v>
      </c>
      <c r="Q190" s="6">
        <v>0</v>
      </c>
      <c r="R190" s="4">
        <v>0</v>
      </c>
      <c r="S190" s="4">
        <v>0</v>
      </c>
      <c r="T190" s="4">
        <v>441000</v>
      </c>
      <c r="U190" s="4">
        <v>441000</v>
      </c>
      <c r="V190" s="6">
        <v>70</v>
      </c>
      <c r="W190" s="4">
        <v>0</v>
      </c>
      <c r="X190" s="4">
        <v>0</v>
      </c>
      <c r="Y190" s="4">
        <v>400000</v>
      </c>
      <c r="Z190" s="4">
        <v>400000</v>
      </c>
      <c r="AA190" s="4">
        <v>3.4</v>
      </c>
      <c r="AB190" s="6">
        <v>21420</v>
      </c>
      <c r="AC190" s="4">
        <v>14994</v>
      </c>
      <c r="AD190" s="4">
        <v>14994</v>
      </c>
      <c r="AE190" s="6">
        <v>6426</v>
      </c>
      <c r="AF190" s="4">
        <v>0</v>
      </c>
      <c r="AG190" s="7">
        <v>0</v>
      </c>
      <c r="AH190" s="2" t="s">
        <v>37</v>
      </c>
      <c r="AI190">
        <v>0</v>
      </c>
      <c r="AJ190" s="3">
        <v>41912.6862384259</v>
      </c>
      <c r="AK190" s="2" t="s">
        <v>1759</v>
      </c>
    </row>
    <row r="191" spans="1:37" x14ac:dyDescent="0.15">
      <c r="A191" s="2" t="s">
        <v>1758</v>
      </c>
      <c r="B191">
        <v>266</v>
      </c>
      <c r="C191" s="3">
        <v>41821</v>
      </c>
      <c r="D191" s="2" t="s">
        <v>37</v>
      </c>
      <c r="E191" s="2" t="s">
        <v>1757</v>
      </c>
      <c r="F191" s="2" t="s">
        <v>41</v>
      </c>
      <c r="G191" s="2" t="s">
        <v>429</v>
      </c>
      <c r="H191" s="2" t="s">
        <v>430</v>
      </c>
      <c r="I191" s="4">
        <v>4215575</v>
      </c>
      <c r="J191" s="4">
        <v>0</v>
      </c>
      <c r="K191" s="4">
        <v>0</v>
      </c>
      <c r="L191" s="5"/>
      <c r="M191" s="5">
        <v>3.6</v>
      </c>
      <c r="N191" s="6">
        <v>151760.70000000001</v>
      </c>
      <c r="O191" s="4">
        <v>0</v>
      </c>
      <c r="P191" s="4">
        <v>0</v>
      </c>
      <c r="Q191" s="6">
        <v>151760.70000000001</v>
      </c>
      <c r="R191" s="4">
        <v>0</v>
      </c>
      <c r="S191" s="4">
        <v>0</v>
      </c>
      <c r="T191" s="4">
        <v>500000</v>
      </c>
      <c r="U191" s="4">
        <v>500000</v>
      </c>
      <c r="V191" s="6">
        <v>11.860799999999999</v>
      </c>
      <c r="W191" s="4">
        <v>0</v>
      </c>
      <c r="X191" s="4">
        <v>0</v>
      </c>
      <c r="Y191" s="4">
        <v>502460.92</v>
      </c>
      <c r="Z191" s="4">
        <v>502460.92</v>
      </c>
      <c r="AA191" s="4">
        <v>3.4</v>
      </c>
      <c r="AB191" s="6">
        <v>143329.54999999999</v>
      </c>
      <c r="AC191" s="4">
        <v>0</v>
      </c>
      <c r="AD191" s="4">
        <v>0</v>
      </c>
      <c r="AE191" s="6">
        <v>143329.54999999999</v>
      </c>
      <c r="AF191" s="4">
        <v>-700000</v>
      </c>
      <c r="AG191" s="7">
        <v>0</v>
      </c>
      <c r="AH191" s="2" t="s">
        <v>37</v>
      </c>
      <c r="AI191">
        <v>0</v>
      </c>
      <c r="AJ191" s="3">
        <v>41912.686249999999</v>
      </c>
      <c r="AK191" s="2" t="s">
        <v>1756</v>
      </c>
    </row>
    <row r="192" spans="1:37" x14ac:dyDescent="0.15">
      <c r="A192" s="2" t="s">
        <v>1755</v>
      </c>
      <c r="B192">
        <v>275</v>
      </c>
      <c r="C192" s="3">
        <v>41821</v>
      </c>
      <c r="D192" s="2" t="s">
        <v>37</v>
      </c>
      <c r="E192" s="2" t="s">
        <v>1754</v>
      </c>
      <c r="F192" s="2" t="s">
        <v>41</v>
      </c>
      <c r="G192" s="2" t="s">
        <v>431</v>
      </c>
      <c r="H192" s="2" t="s">
        <v>432</v>
      </c>
      <c r="I192" s="4">
        <v>60000</v>
      </c>
      <c r="J192" s="4">
        <v>0</v>
      </c>
      <c r="K192" s="4">
        <v>0</v>
      </c>
      <c r="L192" s="5"/>
      <c r="M192" s="5">
        <v>8.6</v>
      </c>
      <c r="N192" s="6">
        <v>5160</v>
      </c>
      <c r="O192" s="4">
        <v>5160</v>
      </c>
      <c r="P192" s="4">
        <v>5160</v>
      </c>
      <c r="Q192" s="6">
        <v>0</v>
      </c>
      <c r="R192" s="4">
        <v>0</v>
      </c>
      <c r="S192" s="4">
        <v>0</v>
      </c>
      <c r="T192" s="4">
        <v>48000</v>
      </c>
      <c r="U192" s="4">
        <v>48000</v>
      </c>
      <c r="V192" s="6">
        <v>80</v>
      </c>
      <c r="W192" s="4">
        <v>0</v>
      </c>
      <c r="X192" s="4">
        <v>0</v>
      </c>
      <c r="Y192" s="4">
        <v>48000</v>
      </c>
      <c r="Z192" s="4">
        <v>48000</v>
      </c>
      <c r="AA192" s="4">
        <v>3.4</v>
      </c>
      <c r="AB192" s="6">
        <v>2040</v>
      </c>
      <c r="AC192" s="4">
        <v>0</v>
      </c>
      <c r="AD192" s="4">
        <v>0</v>
      </c>
      <c r="AE192" s="6">
        <v>2040</v>
      </c>
      <c r="AF192" s="4">
        <v>0</v>
      </c>
      <c r="AG192" s="7">
        <v>0</v>
      </c>
      <c r="AH192" s="2" t="s">
        <v>37</v>
      </c>
      <c r="AI192">
        <v>0</v>
      </c>
      <c r="AJ192" s="3">
        <v>41912.686249999999</v>
      </c>
      <c r="AK192" s="2" t="s">
        <v>1753</v>
      </c>
    </row>
    <row r="193" spans="1:37" x14ac:dyDescent="0.15">
      <c r="A193" s="2" t="s">
        <v>1752</v>
      </c>
      <c r="B193">
        <v>286</v>
      </c>
      <c r="C193" s="3">
        <v>41821</v>
      </c>
      <c r="D193" s="2" t="s">
        <v>37</v>
      </c>
      <c r="E193" s="2" t="s">
        <v>1751</v>
      </c>
      <c r="F193" s="2" t="s">
        <v>41</v>
      </c>
      <c r="G193" s="2" t="s">
        <v>435</v>
      </c>
      <c r="H193" s="2" t="s">
        <v>436</v>
      </c>
      <c r="I193" s="4">
        <v>1108000</v>
      </c>
      <c r="J193" s="4">
        <v>0</v>
      </c>
      <c r="K193" s="4">
        <v>0</v>
      </c>
      <c r="L193" s="5"/>
      <c r="M193" s="5">
        <v>3.6</v>
      </c>
      <c r="N193" s="6">
        <v>39888</v>
      </c>
      <c r="O193" s="4">
        <v>0</v>
      </c>
      <c r="P193" s="4">
        <v>0</v>
      </c>
      <c r="Q193" s="6">
        <v>39888</v>
      </c>
      <c r="R193" s="4">
        <v>0</v>
      </c>
      <c r="S193" s="4">
        <v>0</v>
      </c>
      <c r="T193" s="4">
        <v>150000</v>
      </c>
      <c r="U193" s="4">
        <v>150000</v>
      </c>
      <c r="V193" s="6">
        <v>13.5379</v>
      </c>
      <c r="W193" s="4">
        <v>0</v>
      </c>
      <c r="X193" s="4">
        <v>0</v>
      </c>
      <c r="Y193" s="4">
        <v>137713</v>
      </c>
      <c r="Z193" s="4">
        <v>137713</v>
      </c>
      <c r="AA193" s="4">
        <v>3.4</v>
      </c>
      <c r="AB193" s="6">
        <v>37672</v>
      </c>
      <c r="AC193" s="4">
        <v>30600</v>
      </c>
      <c r="AD193" s="4">
        <v>30600</v>
      </c>
      <c r="AE193" s="6">
        <v>7072</v>
      </c>
      <c r="AF193" s="4">
        <v>0</v>
      </c>
      <c r="AG193" s="7">
        <v>0</v>
      </c>
      <c r="AH193" s="2" t="s">
        <v>37</v>
      </c>
      <c r="AI193">
        <v>0</v>
      </c>
      <c r="AJ193" s="3">
        <v>41912.686249999999</v>
      </c>
      <c r="AK193" s="2" t="s">
        <v>1750</v>
      </c>
    </row>
    <row r="194" spans="1:37" x14ac:dyDescent="0.15">
      <c r="A194" s="2" t="s">
        <v>1749</v>
      </c>
      <c r="B194">
        <v>280</v>
      </c>
      <c r="C194" s="3">
        <v>41821</v>
      </c>
      <c r="D194" s="2" t="s">
        <v>37</v>
      </c>
      <c r="E194" s="2" t="s">
        <v>1748</v>
      </c>
      <c r="F194" s="2" t="s">
        <v>41</v>
      </c>
      <c r="G194" s="2" t="s">
        <v>433</v>
      </c>
      <c r="H194" s="2" t="s">
        <v>434</v>
      </c>
      <c r="I194" s="4">
        <v>507387</v>
      </c>
      <c r="J194" s="4">
        <v>0</v>
      </c>
      <c r="K194" s="4">
        <v>0</v>
      </c>
      <c r="L194" s="5"/>
      <c r="M194" s="5">
        <v>3.6</v>
      </c>
      <c r="N194" s="6">
        <v>18265.932000000001</v>
      </c>
      <c r="O194" s="4">
        <v>0</v>
      </c>
      <c r="P194" s="4">
        <v>0</v>
      </c>
      <c r="Q194" s="6">
        <v>18265.932000000001</v>
      </c>
      <c r="R194" s="4">
        <v>0</v>
      </c>
      <c r="S194" s="4">
        <v>0</v>
      </c>
      <c r="T194" s="4">
        <v>279062.84999999998</v>
      </c>
      <c r="U194" s="4">
        <v>279062.84999999998</v>
      </c>
      <c r="V194" s="6">
        <v>55</v>
      </c>
      <c r="W194" s="4">
        <v>0</v>
      </c>
      <c r="X194" s="4">
        <v>0</v>
      </c>
      <c r="Y194" s="4">
        <v>154000</v>
      </c>
      <c r="Z194" s="4">
        <v>154000</v>
      </c>
      <c r="AA194" s="4">
        <v>3.4</v>
      </c>
      <c r="AB194" s="6">
        <v>17251.157999999999</v>
      </c>
      <c r="AC194" s="4">
        <v>0</v>
      </c>
      <c r="AD194" s="4">
        <v>0</v>
      </c>
      <c r="AE194" s="6">
        <v>17251.157999999999</v>
      </c>
      <c r="AF194" s="4">
        <v>0</v>
      </c>
      <c r="AG194" s="7">
        <v>0</v>
      </c>
      <c r="AH194" s="2" t="s">
        <v>37</v>
      </c>
      <c r="AI194">
        <v>0</v>
      </c>
      <c r="AJ194" s="3">
        <v>41912.686249999999</v>
      </c>
      <c r="AK194" s="2" t="s">
        <v>1747</v>
      </c>
    </row>
    <row r="195" spans="1:37" x14ac:dyDescent="0.15">
      <c r="A195" s="2" t="s">
        <v>1746</v>
      </c>
      <c r="B195">
        <v>291</v>
      </c>
      <c r="C195" s="3">
        <v>41821</v>
      </c>
      <c r="D195" s="2" t="s">
        <v>37</v>
      </c>
      <c r="E195" s="2" t="s">
        <v>1745</v>
      </c>
      <c r="F195" s="2" t="s">
        <v>41</v>
      </c>
      <c r="G195" s="2" t="s">
        <v>439</v>
      </c>
      <c r="H195" s="2" t="s">
        <v>440</v>
      </c>
      <c r="I195" s="4">
        <v>2063932</v>
      </c>
      <c r="J195" s="4">
        <v>0</v>
      </c>
      <c r="K195" s="4">
        <v>0</v>
      </c>
      <c r="L195" s="5"/>
      <c r="M195" s="5">
        <v>8.6</v>
      </c>
      <c r="N195" s="6">
        <v>177498.152</v>
      </c>
      <c r="O195" s="4">
        <v>0</v>
      </c>
      <c r="P195" s="4">
        <v>0</v>
      </c>
      <c r="Q195" s="6">
        <v>177498.152</v>
      </c>
      <c r="R195" s="4">
        <v>0</v>
      </c>
      <c r="S195" s="4">
        <v>0</v>
      </c>
      <c r="T195" s="4">
        <v>309589.8</v>
      </c>
      <c r="U195" s="4">
        <v>309589.8</v>
      </c>
      <c r="V195" s="6">
        <v>15</v>
      </c>
      <c r="W195" s="4">
        <v>0</v>
      </c>
      <c r="X195" s="4">
        <v>0</v>
      </c>
      <c r="Y195" s="4">
        <v>309589.8</v>
      </c>
      <c r="Z195" s="4">
        <v>309589.8</v>
      </c>
      <c r="AA195" s="4">
        <v>3.4</v>
      </c>
      <c r="AB195" s="6">
        <v>70173.687999999995</v>
      </c>
      <c r="AC195" s="4">
        <v>0</v>
      </c>
      <c r="AD195" s="4">
        <v>0</v>
      </c>
      <c r="AE195" s="6">
        <v>70173.687999999995</v>
      </c>
      <c r="AF195" s="4">
        <v>0</v>
      </c>
      <c r="AG195" s="7">
        <v>0</v>
      </c>
      <c r="AH195" s="2" t="s">
        <v>37</v>
      </c>
      <c r="AI195">
        <v>0</v>
      </c>
      <c r="AJ195" s="3">
        <v>41912.686249999999</v>
      </c>
      <c r="AK195" s="2" t="s">
        <v>1744</v>
      </c>
    </row>
    <row r="196" spans="1:37" x14ac:dyDescent="0.15">
      <c r="A196" s="2" t="s">
        <v>1743</v>
      </c>
      <c r="B196">
        <v>296</v>
      </c>
      <c r="C196" s="3">
        <v>41821</v>
      </c>
      <c r="D196" s="2" t="s">
        <v>37</v>
      </c>
      <c r="E196" s="2" t="s">
        <v>1742</v>
      </c>
      <c r="F196" s="2" t="s">
        <v>41</v>
      </c>
      <c r="G196" s="2" t="s">
        <v>437</v>
      </c>
      <c r="H196" s="2" t="s">
        <v>438</v>
      </c>
      <c r="I196" s="4">
        <v>50000</v>
      </c>
      <c r="J196" s="4">
        <v>0</v>
      </c>
      <c r="K196" s="4">
        <v>0</v>
      </c>
      <c r="L196" s="5"/>
      <c r="M196" s="5">
        <v>8.6</v>
      </c>
      <c r="N196" s="6">
        <v>4300</v>
      </c>
      <c r="O196" s="4">
        <v>0</v>
      </c>
      <c r="P196" s="4">
        <v>0</v>
      </c>
      <c r="Q196" s="6">
        <v>4300</v>
      </c>
      <c r="R196" s="4">
        <v>0</v>
      </c>
      <c r="S196" s="4">
        <v>0</v>
      </c>
      <c r="T196" s="4">
        <v>0</v>
      </c>
      <c r="U196" s="4">
        <v>0</v>
      </c>
      <c r="V196" s="6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3.4</v>
      </c>
      <c r="AB196" s="6">
        <v>1700</v>
      </c>
      <c r="AC196" s="4">
        <v>0</v>
      </c>
      <c r="AD196" s="4">
        <v>0</v>
      </c>
      <c r="AE196" s="6">
        <v>1700</v>
      </c>
      <c r="AF196" s="4">
        <v>0</v>
      </c>
      <c r="AG196" s="7">
        <v>0</v>
      </c>
      <c r="AH196" s="2" t="s">
        <v>37</v>
      </c>
      <c r="AI196">
        <v>0</v>
      </c>
      <c r="AJ196" s="3">
        <v>41912.686249999999</v>
      </c>
      <c r="AK196" s="2" t="s">
        <v>1741</v>
      </c>
    </row>
    <row r="197" spans="1:37" x14ac:dyDescent="0.15">
      <c r="A197" s="2" t="s">
        <v>1740</v>
      </c>
      <c r="B197">
        <v>1212</v>
      </c>
      <c r="C197" s="3">
        <v>41821</v>
      </c>
      <c r="D197" s="2" t="s">
        <v>37</v>
      </c>
      <c r="E197" s="2" t="s">
        <v>1739</v>
      </c>
      <c r="F197" s="2" t="s">
        <v>38</v>
      </c>
      <c r="G197" s="2" t="s">
        <v>417</v>
      </c>
      <c r="H197" s="2" t="s">
        <v>418</v>
      </c>
      <c r="I197" s="4">
        <v>1885067.2</v>
      </c>
      <c r="J197" s="4">
        <v>0</v>
      </c>
      <c r="K197" s="4">
        <v>0</v>
      </c>
      <c r="L197" s="5"/>
      <c r="M197" s="5">
        <v>3.6</v>
      </c>
      <c r="N197" s="6">
        <v>67862.419200000004</v>
      </c>
      <c r="O197" s="4">
        <v>0</v>
      </c>
      <c r="P197" s="4">
        <v>0</v>
      </c>
      <c r="Q197" s="6">
        <v>67862.419200000004</v>
      </c>
      <c r="R197" s="4">
        <v>565520</v>
      </c>
      <c r="S197" s="4">
        <v>565520</v>
      </c>
      <c r="T197" s="4">
        <v>0</v>
      </c>
      <c r="U197" s="4">
        <v>0</v>
      </c>
      <c r="V197" s="6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3.4</v>
      </c>
      <c r="AB197" s="6">
        <v>19227.68</v>
      </c>
      <c r="AC197" s="4">
        <v>0</v>
      </c>
      <c r="AD197" s="4">
        <v>0</v>
      </c>
      <c r="AE197" s="6">
        <v>19227.68</v>
      </c>
      <c r="AF197" s="4">
        <v>0</v>
      </c>
      <c r="AG197" s="7">
        <v>21</v>
      </c>
      <c r="AH197" s="2" t="s">
        <v>52</v>
      </c>
      <c r="AI197">
        <v>0</v>
      </c>
      <c r="AJ197" s="3">
        <v>41912.6862847222</v>
      </c>
      <c r="AK197" s="2" t="s">
        <v>1738</v>
      </c>
    </row>
    <row r="198" spans="1:37" x14ac:dyDescent="0.15">
      <c r="A198" s="2" t="s">
        <v>1737</v>
      </c>
      <c r="B198">
        <v>304</v>
      </c>
      <c r="C198" s="3">
        <v>41821</v>
      </c>
      <c r="D198" s="2" t="s">
        <v>37</v>
      </c>
      <c r="E198" s="2" t="s">
        <v>1736</v>
      </c>
      <c r="F198" s="2" t="s">
        <v>41</v>
      </c>
      <c r="G198" s="2" t="s">
        <v>443</v>
      </c>
      <c r="H198" s="2" t="s">
        <v>444</v>
      </c>
      <c r="I198" s="4">
        <v>248000</v>
      </c>
      <c r="J198" s="4">
        <v>0</v>
      </c>
      <c r="K198" s="4">
        <v>0</v>
      </c>
      <c r="L198" s="5"/>
      <c r="M198" s="5">
        <v>8.6</v>
      </c>
      <c r="N198" s="6">
        <v>21328</v>
      </c>
      <c r="O198" s="4">
        <v>0</v>
      </c>
      <c r="P198" s="4">
        <v>0</v>
      </c>
      <c r="Q198" s="6">
        <v>21328</v>
      </c>
      <c r="R198" s="4">
        <v>0</v>
      </c>
      <c r="S198" s="4">
        <v>0</v>
      </c>
      <c r="T198" s="4">
        <v>0</v>
      </c>
      <c r="U198" s="4">
        <v>0</v>
      </c>
      <c r="V198" s="6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3.4</v>
      </c>
      <c r="AB198" s="6">
        <v>8432</v>
      </c>
      <c r="AC198" s="4">
        <v>0</v>
      </c>
      <c r="AD198" s="4">
        <v>0</v>
      </c>
      <c r="AE198" s="6">
        <v>8432</v>
      </c>
      <c r="AF198" s="4">
        <v>0</v>
      </c>
      <c r="AG198" s="7">
        <v>0</v>
      </c>
      <c r="AH198" s="2" t="s">
        <v>37</v>
      </c>
      <c r="AI198">
        <v>0</v>
      </c>
      <c r="AJ198" s="3">
        <v>41912.686249999999</v>
      </c>
      <c r="AK198" s="2" t="s">
        <v>1735</v>
      </c>
    </row>
    <row r="199" spans="1:37" x14ac:dyDescent="0.15">
      <c r="A199" s="2" t="s">
        <v>1734</v>
      </c>
      <c r="B199">
        <v>309</v>
      </c>
      <c r="C199" s="3">
        <v>41821</v>
      </c>
      <c r="D199" s="2" t="s">
        <v>37</v>
      </c>
      <c r="E199" s="2" t="s">
        <v>1733</v>
      </c>
      <c r="F199" s="2" t="s">
        <v>41</v>
      </c>
      <c r="G199" s="2" t="s">
        <v>445</v>
      </c>
      <c r="H199" s="2" t="s">
        <v>446</v>
      </c>
      <c r="I199" s="4">
        <v>967901.04</v>
      </c>
      <c r="J199" s="4">
        <v>0</v>
      </c>
      <c r="K199" s="4">
        <v>0</v>
      </c>
      <c r="L199" s="5"/>
      <c r="M199" s="5">
        <v>3.6</v>
      </c>
      <c r="N199" s="6">
        <v>34844.437400000003</v>
      </c>
      <c r="O199" s="4">
        <v>0</v>
      </c>
      <c r="P199" s="4">
        <v>0</v>
      </c>
      <c r="Q199" s="6">
        <v>34844.437400000003</v>
      </c>
      <c r="R199" s="4">
        <v>0</v>
      </c>
      <c r="S199" s="4">
        <v>0</v>
      </c>
      <c r="T199" s="4">
        <v>0</v>
      </c>
      <c r="U199" s="4">
        <v>0</v>
      </c>
      <c r="V199" s="6">
        <v>0</v>
      </c>
      <c r="W199" s="4">
        <v>0</v>
      </c>
      <c r="X199" s="4">
        <v>0</v>
      </c>
      <c r="Y199" s="4">
        <v>0</v>
      </c>
      <c r="Z199" s="4">
        <v>0</v>
      </c>
      <c r="AA199" s="4"/>
      <c r="AB199" s="6">
        <v>0</v>
      </c>
      <c r="AC199" s="4">
        <v>0</v>
      </c>
      <c r="AD199" s="4">
        <v>0</v>
      </c>
      <c r="AE199" s="6">
        <v>0</v>
      </c>
      <c r="AF199" s="4">
        <v>0</v>
      </c>
      <c r="AG199" s="7">
        <v>0</v>
      </c>
      <c r="AH199" s="2" t="s">
        <v>37</v>
      </c>
      <c r="AI199">
        <v>0</v>
      </c>
      <c r="AJ199" s="3">
        <v>41912.686249999999</v>
      </c>
      <c r="AK199" s="2" t="s">
        <v>1732</v>
      </c>
    </row>
    <row r="200" spans="1:37" x14ac:dyDescent="0.15">
      <c r="A200" s="2" t="s">
        <v>1731</v>
      </c>
      <c r="B200">
        <v>237</v>
      </c>
      <c r="C200" s="3">
        <v>41821</v>
      </c>
      <c r="D200" s="2" t="s">
        <v>37</v>
      </c>
      <c r="E200" s="2" t="s">
        <v>1730</v>
      </c>
      <c r="F200" s="2" t="s">
        <v>41</v>
      </c>
      <c r="G200" s="2" t="s">
        <v>449</v>
      </c>
      <c r="H200" s="2" t="s">
        <v>450</v>
      </c>
      <c r="I200" s="4">
        <v>50000</v>
      </c>
      <c r="J200" s="4">
        <v>0</v>
      </c>
      <c r="K200" s="4">
        <v>0</v>
      </c>
      <c r="L200" s="5"/>
      <c r="M200" s="5">
        <v>8.6</v>
      </c>
      <c r="N200" s="6">
        <v>4300</v>
      </c>
      <c r="O200" s="4">
        <v>0</v>
      </c>
      <c r="P200" s="4">
        <v>0</v>
      </c>
      <c r="Q200" s="6">
        <v>4300</v>
      </c>
      <c r="R200" s="4">
        <v>0</v>
      </c>
      <c r="S200" s="4">
        <v>0</v>
      </c>
      <c r="T200" s="4">
        <v>0</v>
      </c>
      <c r="U200" s="4">
        <v>0</v>
      </c>
      <c r="V200" s="6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3.4</v>
      </c>
      <c r="AB200" s="6">
        <v>1700</v>
      </c>
      <c r="AC200" s="4">
        <v>0</v>
      </c>
      <c r="AD200" s="4">
        <v>0</v>
      </c>
      <c r="AE200" s="6">
        <v>1700</v>
      </c>
      <c r="AF200" s="4">
        <v>0</v>
      </c>
      <c r="AG200" s="7">
        <v>0</v>
      </c>
      <c r="AH200" s="2" t="s">
        <v>37</v>
      </c>
      <c r="AI200">
        <v>0</v>
      </c>
      <c r="AJ200" s="3">
        <v>41912.6862384259</v>
      </c>
      <c r="AK200" s="2" t="s">
        <v>1729</v>
      </c>
    </row>
    <row r="201" spans="1:37" x14ac:dyDescent="0.15">
      <c r="A201" s="2" t="s">
        <v>1728</v>
      </c>
      <c r="B201">
        <v>258</v>
      </c>
      <c r="C201" s="3">
        <v>41821</v>
      </c>
      <c r="D201" s="2" t="s">
        <v>37</v>
      </c>
      <c r="E201" s="2" t="s">
        <v>1727</v>
      </c>
      <c r="F201" s="2" t="s">
        <v>41</v>
      </c>
      <c r="G201" s="2" t="s">
        <v>451</v>
      </c>
      <c r="H201" s="2" t="s">
        <v>452</v>
      </c>
      <c r="I201" s="4">
        <v>9995935.1099999994</v>
      </c>
      <c r="J201" s="4">
        <v>0</v>
      </c>
      <c r="K201" s="4">
        <v>0</v>
      </c>
      <c r="L201" s="5"/>
      <c r="M201" s="5">
        <v>3</v>
      </c>
      <c r="N201" s="6">
        <v>299878.05330000003</v>
      </c>
      <c r="O201" s="4">
        <v>11900</v>
      </c>
      <c r="P201" s="4">
        <v>11900</v>
      </c>
      <c r="Q201" s="6">
        <v>287978.05330000003</v>
      </c>
      <c r="R201" s="4">
        <v>0</v>
      </c>
      <c r="S201" s="4">
        <v>0</v>
      </c>
      <c r="T201" s="4">
        <v>2798861.83</v>
      </c>
      <c r="U201" s="4">
        <v>2798861.83</v>
      </c>
      <c r="V201" s="6">
        <v>28</v>
      </c>
      <c r="W201" s="4">
        <v>0</v>
      </c>
      <c r="X201" s="4">
        <v>0</v>
      </c>
      <c r="Y201" s="4">
        <v>1627060.22</v>
      </c>
      <c r="Z201" s="4">
        <v>1627060.22</v>
      </c>
      <c r="AA201" s="4"/>
      <c r="AB201" s="6">
        <v>0</v>
      </c>
      <c r="AC201" s="4">
        <v>273808.63</v>
      </c>
      <c r="AD201" s="4">
        <v>273808.63</v>
      </c>
      <c r="AE201" s="6">
        <v>-273808.63</v>
      </c>
      <c r="AF201" s="4">
        <v>0</v>
      </c>
      <c r="AG201" s="7">
        <v>0</v>
      </c>
      <c r="AH201" s="2" t="s">
        <v>37</v>
      </c>
      <c r="AI201">
        <v>0</v>
      </c>
      <c r="AJ201" s="3">
        <v>41912.6862384259</v>
      </c>
      <c r="AK201" s="2" t="s">
        <v>1726</v>
      </c>
    </row>
    <row r="202" spans="1:37" x14ac:dyDescent="0.15">
      <c r="A202" s="2" t="s">
        <v>1725</v>
      </c>
      <c r="B202">
        <v>248</v>
      </c>
      <c r="C202" s="3">
        <v>41821</v>
      </c>
      <c r="D202" s="2" t="s">
        <v>37</v>
      </c>
      <c r="E202" s="2" t="s">
        <v>1724</v>
      </c>
      <c r="F202" s="2" t="s">
        <v>41</v>
      </c>
      <c r="G202" s="2" t="s">
        <v>447</v>
      </c>
      <c r="H202" s="2" t="s">
        <v>448</v>
      </c>
      <c r="I202" s="4">
        <v>1250000</v>
      </c>
      <c r="J202" s="4">
        <v>0</v>
      </c>
      <c r="K202" s="4">
        <v>0</v>
      </c>
      <c r="L202" s="5"/>
      <c r="M202" s="5">
        <v>8.6</v>
      </c>
      <c r="N202" s="6">
        <v>107500</v>
      </c>
      <c r="O202" s="4">
        <v>51600</v>
      </c>
      <c r="P202" s="4">
        <v>51600</v>
      </c>
      <c r="Q202" s="6">
        <v>55900</v>
      </c>
      <c r="R202" s="4">
        <v>0</v>
      </c>
      <c r="S202" s="4">
        <v>0</v>
      </c>
      <c r="T202" s="4">
        <v>600000</v>
      </c>
      <c r="U202" s="4">
        <v>600000</v>
      </c>
      <c r="V202" s="6">
        <v>48</v>
      </c>
      <c r="W202" s="4">
        <v>0</v>
      </c>
      <c r="X202" s="4">
        <v>0</v>
      </c>
      <c r="Y202" s="4">
        <v>600000</v>
      </c>
      <c r="Z202" s="4">
        <v>600000</v>
      </c>
      <c r="AA202" s="4">
        <v>3.4</v>
      </c>
      <c r="AB202" s="6">
        <v>42500</v>
      </c>
      <c r="AC202" s="4">
        <v>0</v>
      </c>
      <c r="AD202" s="4">
        <v>0</v>
      </c>
      <c r="AE202" s="6">
        <v>42500</v>
      </c>
      <c r="AF202" s="4">
        <v>0</v>
      </c>
      <c r="AG202" s="7">
        <v>0</v>
      </c>
      <c r="AH202" s="2" t="s">
        <v>37</v>
      </c>
      <c r="AI202">
        <v>0</v>
      </c>
      <c r="AJ202" s="3">
        <v>41912.6862384259</v>
      </c>
      <c r="AK202" s="2" t="s">
        <v>1723</v>
      </c>
    </row>
    <row r="203" spans="1:37" x14ac:dyDescent="0.15">
      <c r="A203" s="2" t="s">
        <v>1722</v>
      </c>
      <c r="B203">
        <v>267</v>
      </c>
      <c r="C203" s="3">
        <v>41821</v>
      </c>
      <c r="D203" s="2" t="s">
        <v>37</v>
      </c>
      <c r="E203" s="2" t="s">
        <v>1721</v>
      </c>
      <c r="F203" s="2" t="s">
        <v>41</v>
      </c>
      <c r="G203" s="2" t="s">
        <v>453</v>
      </c>
      <c r="H203" s="2" t="s">
        <v>454</v>
      </c>
      <c r="I203" s="4">
        <v>50000</v>
      </c>
      <c r="J203" s="4">
        <v>0</v>
      </c>
      <c r="K203" s="4">
        <v>0</v>
      </c>
      <c r="L203" s="5"/>
      <c r="M203" s="5">
        <v>8.6</v>
      </c>
      <c r="N203" s="6">
        <v>4300</v>
      </c>
      <c r="O203" s="4">
        <v>0</v>
      </c>
      <c r="P203" s="4">
        <v>0</v>
      </c>
      <c r="Q203" s="6">
        <v>4300</v>
      </c>
      <c r="R203" s="4">
        <v>0</v>
      </c>
      <c r="S203" s="4">
        <v>0</v>
      </c>
      <c r="T203" s="4">
        <v>0</v>
      </c>
      <c r="U203" s="4">
        <v>0</v>
      </c>
      <c r="V203" s="6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3.4</v>
      </c>
      <c r="AB203" s="6">
        <v>1700</v>
      </c>
      <c r="AC203" s="4">
        <v>0</v>
      </c>
      <c r="AD203" s="4">
        <v>0</v>
      </c>
      <c r="AE203" s="6">
        <v>1700</v>
      </c>
      <c r="AF203" s="4">
        <v>0</v>
      </c>
      <c r="AG203" s="7">
        <v>0</v>
      </c>
      <c r="AH203" s="2" t="s">
        <v>37</v>
      </c>
      <c r="AI203">
        <v>0</v>
      </c>
      <c r="AJ203" s="3">
        <v>41912.686249999999</v>
      </c>
      <c r="AK203" s="2" t="s">
        <v>1720</v>
      </c>
    </row>
    <row r="204" spans="1:37" x14ac:dyDescent="0.15">
      <c r="A204" s="2" t="s">
        <v>1719</v>
      </c>
      <c r="B204">
        <v>276</v>
      </c>
      <c r="C204" s="3">
        <v>41821</v>
      </c>
      <c r="D204" s="2" t="s">
        <v>37</v>
      </c>
      <c r="E204" s="2" t="s">
        <v>1718</v>
      </c>
      <c r="F204" s="2" t="s">
        <v>41</v>
      </c>
      <c r="G204" s="2" t="s">
        <v>455</v>
      </c>
      <c r="H204" s="2" t="s">
        <v>456</v>
      </c>
      <c r="I204" s="4">
        <v>48000</v>
      </c>
      <c r="J204" s="4">
        <v>0</v>
      </c>
      <c r="K204" s="4">
        <v>0</v>
      </c>
      <c r="L204" s="5"/>
      <c r="M204" s="5">
        <v>8.6</v>
      </c>
      <c r="N204" s="6">
        <v>4128</v>
      </c>
      <c r="O204" s="4">
        <v>0</v>
      </c>
      <c r="P204" s="4">
        <v>0</v>
      </c>
      <c r="Q204" s="6">
        <v>4128</v>
      </c>
      <c r="R204" s="4">
        <v>0</v>
      </c>
      <c r="S204" s="4">
        <v>0</v>
      </c>
      <c r="T204" s="4">
        <v>0</v>
      </c>
      <c r="U204" s="4">
        <v>0</v>
      </c>
      <c r="V204" s="6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3.4</v>
      </c>
      <c r="AB204" s="6">
        <v>1632</v>
      </c>
      <c r="AC204" s="4">
        <v>0</v>
      </c>
      <c r="AD204" s="4">
        <v>0</v>
      </c>
      <c r="AE204" s="6">
        <v>1632</v>
      </c>
      <c r="AF204" s="4">
        <v>0</v>
      </c>
      <c r="AG204" s="7">
        <v>0</v>
      </c>
      <c r="AH204" s="2" t="s">
        <v>37</v>
      </c>
      <c r="AI204">
        <v>0</v>
      </c>
      <c r="AJ204" s="3">
        <v>41912.686249999999</v>
      </c>
      <c r="AK204" s="2" t="s">
        <v>1717</v>
      </c>
    </row>
    <row r="205" spans="1:37" x14ac:dyDescent="0.15">
      <c r="A205" s="2" t="s">
        <v>1716</v>
      </c>
      <c r="B205">
        <v>287</v>
      </c>
      <c r="C205" s="3">
        <v>41821</v>
      </c>
      <c r="D205" s="2" t="s">
        <v>37</v>
      </c>
      <c r="E205" s="2" t="s">
        <v>1715</v>
      </c>
      <c r="F205" s="2" t="s">
        <v>41</v>
      </c>
      <c r="G205" s="2" t="s">
        <v>391</v>
      </c>
      <c r="H205" s="2" t="s">
        <v>392</v>
      </c>
      <c r="I205" s="4">
        <v>50000</v>
      </c>
      <c r="J205" s="4">
        <v>0</v>
      </c>
      <c r="K205" s="4">
        <v>0</v>
      </c>
      <c r="L205" s="5"/>
      <c r="M205" s="5">
        <v>8.6</v>
      </c>
      <c r="N205" s="6">
        <v>4300</v>
      </c>
      <c r="O205" s="4">
        <v>0</v>
      </c>
      <c r="P205" s="4">
        <v>0</v>
      </c>
      <c r="Q205" s="6">
        <v>4300</v>
      </c>
      <c r="R205" s="4">
        <v>0</v>
      </c>
      <c r="S205" s="4">
        <v>0</v>
      </c>
      <c r="T205" s="4">
        <v>0</v>
      </c>
      <c r="U205" s="4">
        <v>0</v>
      </c>
      <c r="V205" s="6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3.4</v>
      </c>
      <c r="AB205" s="6">
        <v>1700</v>
      </c>
      <c r="AC205" s="4">
        <v>0</v>
      </c>
      <c r="AD205" s="4">
        <v>0</v>
      </c>
      <c r="AE205" s="6">
        <v>1700</v>
      </c>
      <c r="AF205" s="4">
        <v>0</v>
      </c>
      <c r="AG205" s="7">
        <v>0</v>
      </c>
      <c r="AH205" s="2" t="s">
        <v>37</v>
      </c>
      <c r="AI205">
        <v>0</v>
      </c>
      <c r="AJ205" s="3">
        <v>41912.686249999999</v>
      </c>
      <c r="AK205" s="2" t="s">
        <v>1714</v>
      </c>
    </row>
    <row r="206" spans="1:37" x14ac:dyDescent="0.15">
      <c r="A206" s="2" t="s">
        <v>1713</v>
      </c>
      <c r="B206">
        <v>281</v>
      </c>
      <c r="C206" s="3">
        <v>41821</v>
      </c>
      <c r="D206" s="2" t="s">
        <v>37</v>
      </c>
      <c r="E206" s="2" t="s">
        <v>1712</v>
      </c>
      <c r="F206" s="2" t="s">
        <v>41</v>
      </c>
      <c r="G206" s="2" t="s">
        <v>457</v>
      </c>
      <c r="H206" s="2" t="s">
        <v>458</v>
      </c>
      <c r="I206" s="4">
        <v>50000</v>
      </c>
      <c r="J206" s="4">
        <v>0</v>
      </c>
      <c r="K206" s="4">
        <v>0</v>
      </c>
      <c r="L206" s="5"/>
      <c r="M206" s="5">
        <v>8.6</v>
      </c>
      <c r="N206" s="6">
        <v>4300</v>
      </c>
      <c r="O206" s="4">
        <v>0</v>
      </c>
      <c r="P206" s="4">
        <v>0</v>
      </c>
      <c r="Q206" s="6">
        <v>4300</v>
      </c>
      <c r="R206" s="4">
        <v>0</v>
      </c>
      <c r="S206" s="4">
        <v>0</v>
      </c>
      <c r="T206" s="4">
        <v>0</v>
      </c>
      <c r="U206" s="4">
        <v>0</v>
      </c>
      <c r="V206" s="6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3.4</v>
      </c>
      <c r="AB206" s="6">
        <v>1700</v>
      </c>
      <c r="AC206" s="4">
        <v>0</v>
      </c>
      <c r="AD206" s="4">
        <v>0</v>
      </c>
      <c r="AE206" s="6">
        <v>1700</v>
      </c>
      <c r="AF206" s="4">
        <v>0</v>
      </c>
      <c r="AG206" s="7">
        <v>0</v>
      </c>
      <c r="AH206" s="2" t="s">
        <v>37</v>
      </c>
      <c r="AI206">
        <v>0</v>
      </c>
      <c r="AJ206" s="3">
        <v>41912.686249999999</v>
      </c>
      <c r="AK206" s="2" t="s">
        <v>1711</v>
      </c>
    </row>
    <row r="207" spans="1:37" x14ac:dyDescent="0.15">
      <c r="A207" s="2" t="s">
        <v>1710</v>
      </c>
      <c r="B207">
        <v>294</v>
      </c>
      <c r="C207" s="3">
        <v>41821</v>
      </c>
      <c r="D207" s="2" t="s">
        <v>37</v>
      </c>
      <c r="E207" s="2" t="s">
        <v>1709</v>
      </c>
      <c r="F207" s="2" t="s">
        <v>41</v>
      </c>
      <c r="G207" s="2" t="s">
        <v>395</v>
      </c>
      <c r="H207" s="2" t="s">
        <v>396</v>
      </c>
      <c r="I207" s="4">
        <v>304724.28999999998</v>
      </c>
      <c r="J207" s="4">
        <v>0</v>
      </c>
      <c r="K207" s="4">
        <v>0</v>
      </c>
      <c r="L207" s="5"/>
      <c r="M207" s="5">
        <v>3.6</v>
      </c>
      <c r="N207" s="6">
        <v>10970.0744</v>
      </c>
      <c r="O207" s="4">
        <v>0</v>
      </c>
      <c r="P207" s="4">
        <v>0</v>
      </c>
      <c r="Q207" s="6">
        <v>10970.0744</v>
      </c>
      <c r="R207" s="4">
        <v>0</v>
      </c>
      <c r="S207" s="4">
        <v>0</v>
      </c>
      <c r="T207" s="4">
        <v>2073</v>
      </c>
      <c r="U207" s="4">
        <v>2073</v>
      </c>
      <c r="V207" s="6">
        <v>0.68030000000000002</v>
      </c>
      <c r="W207" s="4">
        <v>0</v>
      </c>
      <c r="X207" s="4">
        <v>0</v>
      </c>
      <c r="Y207" s="4">
        <v>0</v>
      </c>
      <c r="Z207" s="4">
        <v>0</v>
      </c>
      <c r="AA207" s="4">
        <v>3.4</v>
      </c>
      <c r="AB207" s="6">
        <v>10360.625899999999</v>
      </c>
      <c r="AC207" s="4">
        <v>2073</v>
      </c>
      <c r="AD207" s="4">
        <v>2073</v>
      </c>
      <c r="AE207" s="6">
        <v>8287.6258999999991</v>
      </c>
      <c r="AF207" s="4">
        <v>0</v>
      </c>
      <c r="AG207" s="7">
        <v>0</v>
      </c>
      <c r="AH207" s="2" t="s">
        <v>37</v>
      </c>
      <c r="AI207">
        <v>0</v>
      </c>
      <c r="AJ207" s="3">
        <v>41912.686249999999</v>
      </c>
      <c r="AK207" s="2" t="s">
        <v>1708</v>
      </c>
    </row>
    <row r="208" spans="1:37" x14ac:dyDescent="0.15">
      <c r="A208" s="2" t="s">
        <v>1707</v>
      </c>
      <c r="B208">
        <v>299</v>
      </c>
      <c r="C208" s="3">
        <v>41821</v>
      </c>
      <c r="D208" s="2" t="s">
        <v>37</v>
      </c>
      <c r="E208" s="2" t="s">
        <v>1706</v>
      </c>
      <c r="F208" s="2" t="s">
        <v>41</v>
      </c>
      <c r="G208" s="2" t="s">
        <v>393</v>
      </c>
      <c r="H208" s="2" t="s">
        <v>394</v>
      </c>
      <c r="I208" s="4">
        <v>8649410.8000000007</v>
      </c>
      <c r="J208" s="4">
        <v>0</v>
      </c>
      <c r="K208" s="4">
        <v>0</v>
      </c>
      <c r="L208" s="5"/>
      <c r="M208" s="5">
        <v>3</v>
      </c>
      <c r="N208" s="6">
        <v>259482.32399999999</v>
      </c>
      <c r="O208" s="4">
        <v>0</v>
      </c>
      <c r="P208" s="4">
        <v>0</v>
      </c>
      <c r="Q208" s="6">
        <v>259482.32399999999</v>
      </c>
      <c r="R208" s="4">
        <v>0</v>
      </c>
      <c r="S208" s="4">
        <v>0</v>
      </c>
      <c r="T208" s="4">
        <v>7657.4</v>
      </c>
      <c r="U208" s="4">
        <v>7657.4</v>
      </c>
      <c r="V208" s="6">
        <v>8.8499999999999995E-2</v>
      </c>
      <c r="W208" s="4">
        <v>0</v>
      </c>
      <c r="X208" s="4">
        <v>0</v>
      </c>
      <c r="Y208" s="4">
        <v>439657.4</v>
      </c>
      <c r="Z208" s="4">
        <v>439657.4</v>
      </c>
      <c r="AA208" s="4">
        <v>3.4</v>
      </c>
      <c r="AB208" s="6">
        <v>294079.96720000001</v>
      </c>
      <c r="AC208" s="4">
        <v>0</v>
      </c>
      <c r="AD208" s="4">
        <v>0</v>
      </c>
      <c r="AE208" s="6">
        <v>294079.96720000001</v>
      </c>
      <c r="AF208" s="4">
        <v>0</v>
      </c>
      <c r="AG208" s="7">
        <v>0</v>
      </c>
      <c r="AH208" s="2" t="s">
        <v>37</v>
      </c>
      <c r="AI208">
        <v>0</v>
      </c>
      <c r="AJ208" s="3">
        <v>41912.686249999999</v>
      </c>
      <c r="AK208" s="2" t="s">
        <v>1705</v>
      </c>
    </row>
    <row r="209" spans="1:37" x14ac:dyDescent="0.15">
      <c r="A209" s="2" t="s">
        <v>1704</v>
      </c>
      <c r="B209">
        <v>1214</v>
      </c>
      <c r="C209" s="3">
        <v>41821</v>
      </c>
      <c r="D209" s="2" t="s">
        <v>37</v>
      </c>
      <c r="E209" s="2" t="s">
        <v>1703</v>
      </c>
      <c r="F209" s="2" t="s">
        <v>38</v>
      </c>
      <c r="G209" s="2" t="s">
        <v>441</v>
      </c>
      <c r="H209" s="2" t="s">
        <v>442</v>
      </c>
      <c r="I209" s="4">
        <v>1679000</v>
      </c>
      <c r="J209" s="4">
        <v>0</v>
      </c>
      <c r="K209" s="4">
        <v>0</v>
      </c>
      <c r="L209" s="5"/>
      <c r="M209" s="5">
        <v>3.6</v>
      </c>
      <c r="N209" s="6">
        <v>60444</v>
      </c>
      <c r="O209" s="4">
        <v>0</v>
      </c>
      <c r="P209" s="4">
        <v>0</v>
      </c>
      <c r="Q209" s="6">
        <v>60444</v>
      </c>
      <c r="R209" s="4">
        <v>0</v>
      </c>
      <c r="S209" s="4">
        <v>0</v>
      </c>
      <c r="T209" s="4">
        <v>0</v>
      </c>
      <c r="U209" s="4">
        <v>0</v>
      </c>
      <c r="V209" s="6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3.4</v>
      </c>
      <c r="AB209" s="6">
        <v>0</v>
      </c>
      <c r="AC209" s="4">
        <v>0</v>
      </c>
      <c r="AD209" s="4">
        <v>0</v>
      </c>
      <c r="AE209" s="6">
        <v>0</v>
      </c>
      <c r="AF209" s="4">
        <v>0</v>
      </c>
      <c r="AG209" s="7">
        <v>19</v>
      </c>
      <c r="AH209" s="2" t="s">
        <v>52</v>
      </c>
      <c r="AI209">
        <v>0</v>
      </c>
      <c r="AJ209" s="3">
        <v>41912.6862847222</v>
      </c>
      <c r="AK209" s="2" t="s">
        <v>1702</v>
      </c>
    </row>
    <row r="210" spans="1:37" x14ac:dyDescent="0.15">
      <c r="A210" s="2" t="s">
        <v>1701</v>
      </c>
      <c r="B210">
        <v>307</v>
      </c>
      <c r="C210" s="3">
        <v>41821</v>
      </c>
      <c r="D210" s="2" t="s">
        <v>37</v>
      </c>
      <c r="E210" s="2" t="s">
        <v>1700</v>
      </c>
      <c r="F210" s="2" t="s">
        <v>41</v>
      </c>
      <c r="G210" s="2" t="s">
        <v>399</v>
      </c>
      <c r="H210" s="2" t="s">
        <v>400</v>
      </c>
      <c r="I210" s="4">
        <v>465000</v>
      </c>
      <c r="J210" s="4">
        <v>0</v>
      </c>
      <c r="K210" s="4">
        <v>0</v>
      </c>
      <c r="L210" s="5"/>
      <c r="M210" s="5">
        <v>3.6</v>
      </c>
      <c r="N210" s="6">
        <v>16740</v>
      </c>
      <c r="O210" s="4">
        <v>0</v>
      </c>
      <c r="P210" s="4">
        <v>0</v>
      </c>
      <c r="Q210" s="6">
        <v>16740</v>
      </c>
      <c r="R210" s="4">
        <v>0</v>
      </c>
      <c r="S210" s="4">
        <v>0</v>
      </c>
      <c r="T210" s="4">
        <v>4743</v>
      </c>
      <c r="U210" s="4">
        <v>4743</v>
      </c>
      <c r="V210" s="6">
        <v>1.02</v>
      </c>
      <c r="W210" s="4">
        <v>0</v>
      </c>
      <c r="X210" s="4">
        <v>0</v>
      </c>
      <c r="Y210" s="4">
        <v>0</v>
      </c>
      <c r="Z210" s="4">
        <v>0</v>
      </c>
      <c r="AA210" s="4">
        <v>3.4</v>
      </c>
      <c r="AB210" s="6">
        <v>15810</v>
      </c>
      <c r="AC210" s="4">
        <v>4743</v>
      </c>
      <c r="AD210" s="4">
        <v>4743</v>
      </c>
      <c r="AE210" s="6">
        <v>11067</v>
      </c>
      <c r="AF210" s="4">
        <v>0</v>
      </c>
      <c r="AG210" s="7">
        <v>0</v>
      </c>
      <c r="AH210" s="2" t="s">
        <v>37</v>
      </c>
      <c r="AI210">
        <v>0</v>
      </c>
      <c r="AJ210" s="3">
        <v>41912.686249999999</v>
      </c>
      <c r="AK210" s="2" t="s">
        <v>1699</v>
      </c>
    </row>
    <row r="211" spans="1:37" x14ac:dyDescent="0.15">
      <c r="A211" s="2" t="s">
        <v>1698</v>
      </c>
      <c r="B211">
        <v>239</v>
      </c>
      <c r="C211" s="3">
        <v>41821</v>
      </c>
      <c r="D211" s="2" t="s">
        <v>37</v>
      </c>
      <c r="E211" s="2" t="s">
        <v>1697</v>
      </c>
      <c r="F211" s="2" t="s">
        <v>41</v>
      </c>
      <c r="G211" s="2" t="s">
        <v>401</v>
      </c>
      <c r="H211" s="2" t="s">
        <v>402</v>
      </c>
      <c r="I211" s="4">
        <v>6378103.04</v>
      </c>
      <c r="J211" s="4">
        <v>0</v>
      </c>
      <c r="K211" s="4">
        <v>0</v>
      </c>
      <c r="L211" s="5"/>
      <c r="M211" s="5">
        <v>3</v>
      </c>
      <c r="N211" s="6">
        <v>191343.0912</v>
      </c>
      <c r="O211" s="4">
        <v>0</v>
      </c>
      <c r="P211" s="4">
        <v>0</v>
      </c>
      <c r="Q211" s="6">
        <v>191343.0912</v>
      </c>
      <c r="R211" s="4">
        <v>0</v>
      </c>
      <c r="S211" s="4">
        <v>0</v>
      </c>
      <c r="T211" s="4">
        <v>0</v>
      </c>
      <c r="U211" s="4">
        <v>0</v>
      </c>
      <c r="V211" s="6">
        <v>0</v>
      </c>
      <c r="W211" s="4">
        <v>0</v>
      </c>
      <c r="X211" s="4">
        <v>0</v>
      </c>
      <c r="Y211" s="4">
        <v>188631.25</v>
      </c>
      <c r="Z211" s="4">
        <v>188631.25</v>
      </c>
      <c r="AA211" s="4"/>
      <c r="AB211" s="6">
        <v>0</v>
      </c>
      <c r="AC211" s="4">
        <v>0</v>
      </c>
      <c r="AD211" s="4">
        <v>0</v>
      </c>
      <c r="AE211" s="6">
        <v>0</v>
      </c>
      <c r="AF211" s="4">
        <v>0</v>
      </c>
      <c r="AG211" s="7">
        <v>0</v>
      </c>
      <c r="AH211" s="2" t="s">
        <v>37</v>
      </c>
      <c r="AI211">
        <v>0</v>
      </c>
      <c r="AJ211" s="3">
        <v>41912.6862384259</v>
      </c>
      <c r="AK211" s="2" t="s">
        <v>1696</v>
      </c>
    </row>
    <row r="212" spans="1:37" x14ac:dyDescent="0.15">
      <c r="A212" s="2" t="s">
        <v>1695</v>
      </c>
      <c r="B212">
        <v>1209</v>
      </c>
      <c r="C212" s="3">
        <v>41837</v>
      </c>
      <c r="D212" s="2" t="s">
        <v>37</v>
      </c>
      <c r="E212" s="2" t="s">
        <v>1694</v>
      </c>
      <c r="F212" s="2" t="s">
        <v>38</v>
      </c>
      <c r="G212" s="2" t="s">
        <v>459</v>
      </c>
      <c r="H212" s="2" t="s">
        <v>460</v>
      </c>
      <c r="I212" s="4">
        <v>14892896.99</v>
      </c>
      <c r="J212" s="4">
        <v>0</v>
      </c>
      <c r="K212" s="4">
        <v>0</v>
      </c>
      <c r="L212" s="5"/>
      <c r="M212" s="5"/>
      <c r="N212" s="6"/>
      <c r="O212" s="4">
        <v>0</v>
      </c>
      <c r="P212" s="4">
        <v>0</v>
      </c>
      <c r="Q212" s="6"/>
      <c r="R212" s="4">
        <v>0</v>
      </c>
      <c r="S212" s="4">
        <v>0</v>
      </c>
      <c r="T212" s="4">
        <v>0</v>
      </c>
      <c r="U212" s="4">
        <v>0</v>
      </c>
      <c r="V212" s="6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3.4</v>
      </c>
      <c r="AB212" s="6">
        <v>0</v>
      </c>
      <c r="AC212" s="4">
        <v>0</v>
      </c>
      <c r="AD212" s="4">
        <v>0</v>
      </c>
      <c r="AE212" s="6">
        <v>0</v>
      </c>
      <c r="AF212" s="4">
        <v>0</v>
      </c>
      <c r="AG212" s="7">
        <v>0</v>
      </c>
      <c r="AH212" s="2" t="s">
        <v>37</v>
      </c>
      <c r="AI212">
        <v>0</v>
      </c>
      <c r="AJ212" s="3">
        <v>41912.6862847222</v>
      </c>
      <c r="AK212" s="2" t="s">
        <v>1693</v>
      </c>
    </row>
    <row r="213" spans="1:37" x14ac:dyDescent="0.15">
      <c r="A213" s="2" t="s">
        <v>1692</v>
      </c>
      <c r="B213">
        <v>1200</v>
      </c>
      <c r="C213" s="3">
        <v>41837</v>
      </c>
      <c r="D213" s="2" t="s">
        <v>37</v>
      </c>
      <c r="E213" s="2" t="s">
        <v>1691</v>
      </c>
      <c r="F213" s="2" t="s">
        <v>38</v>
      </c>
      <c r="G213" s="2" t="s">
        <v>1645</v>
      </c>
      <c r="H213" s="2" t="s">
        <v>1679</v>
      </c>
      <c r="I213" s="4"/>
      <c r="J213" s="4">
        <v>0</v>
      </c>
      <c r="K213" s="4">
        <v>0</v>
      </c>
      <c r="L213" s="5"/>
      <c r="M213" s="5"/>
      <c r="N213" s="6"/>
      <c r="O213" s="4">
        <v>0</v>
      </c>
      <c r="P213" s="4">
        <v>0</v>
      </c>
      <c r="Q213" s="6"/>
      <c r="R213" s="4">
        <v>0</v>
      </c>
      <c r="S213" s="4">
        <v>0</v>
      </c>
      <c r="T213" s="4">
        <v>0</v>
      </c>
      <c r="U213" s="4">
        <v>0</v>
      </c>
      <c r="V213" s="6">
        <v>0</v>
      </c>
      <c r="W213" s="4">
        <v>0</v>
      </c>
      <c r="X213" s="4">
        <v>0</v>
      </c>
      <c r="Y213" s="4">
        <v>0</v>
      </c>
      <c r="Z213" s="4">
        <v>0</v>
      </c>
      <c r="AA213" s="4"/>
      <c r="AB213" s="6">
        <v>0</v>
      </c>
      <c r="AC213" s="4">
        <v>0</v>
      </c>
      <c r="AD213" s="4">
        <v>0</v>
      </c>
      <c r="AE213" s="6">
        <v>0</v>
      </c>
      <c r="AF213" s="4">
        <v>0</v>
      </c>
      <c r="AG213" s="7">
        <v>0</v>
      </c>
      <c r="AH213" s="2" t="s">
        <v>37</v>
      </c>
      <c r="AI213">
        <v>0</v>
      </c>
      <c r="AJ213" s="3">
        <v>41912.6862847222</v>
      </c>
      <c r="AK213" s="2" t="s">
        <v>1690</v>
      </c>
    </row>
    <row r="214" spans="1:37" x14ac:dyDescent="0.15">
      <c r="A214" s="2" t="s">
        <v>1689</v>
      </c>
      <c r="B214">
        <v>1208</v>
      </c>
      <c r="C214" s="3">
        <v>41837</v>
      </c>
      <c r="D214" s="2" t="s">
        <v>37</v>
      </c>
      <c r="E214" s="2" t="s">
        <v>1688</v>
      </c>
      <c r="F214" s="2" t="s">
        <v>38</v>
      </c>
      <c r="G214" s="2" t="s">
        <v>461</v>
      </c>
      <c r="H214" s="2" t="s">
        <v>462</v>
      </c>
      <c r="I214" s="4">
        <v>5519500</v>
      </c>
      <c r="J214" s="4">
        <v>0</v>
      </c>
      <c r="K214" s="4">
        <v>0</v>
      </c>
      <c r="L214" s="5"/>
      <c r="M214" s="5">
        <v>3</v>
      </c>
      <c r="N214" s="6">
        <v>165585</v>
      </c>
      <c r="O214" s="4">
        <v>50000</v>
      </c>
      <c r="P214" s="4">
        <v>50000</v>
      </c>
      <c r="Q214" s="6">
        <v>115585</v>
      </c>
      <c r="R214" s="4">
        <v>1000000</v>
      </c>
      <c r="S214" s="4">
        <v>1000000</v>
      </c>
      <c r="T214" s="4">
        <v>1000000</v>
      </c>
      <c r="U214" s="4">
        <v>1000000</v>
      </c>
      <c r="V214" s="6">
        <v>18.117599999999999</v>
      </c>
      <c r="W214" s="4">
        <v>701510.92</v>
      </c>
      <c r="X214" s="4">
        <v>701510.92</v>
      </c>
      <c r="Y214" s="4">
        <v>735510.92</v>
      </c>
      <c r="Z214" s="4">
        <v>735510.92</v>
      </c>
      <c r="AA214" s="4">
        <v>3.4</v>
      </c>
      <c r="AB214" s="6">
        <v>34000</v>
      </c>
      <c r="AC214" s="4">
        <v>34000</v>
      </c>
      <c r="AD214" s="4">
        <v>34000</v>
      </c>
      <c r="AE214" s="6">
        <v>0</v>
      </c>
      <c r="AF214" s="4">
        <v>0</v>
      </c>
      <c r="AG214" s="7">
        <v>77</v>
      </c>
      <c r="AH214" s="2" t="s">
        <v>66</v>
      </c>
      <c r="AI214">
        <v>0</v>
      </c>
      <c r="AJ214" s="3">
        <v>41912.6862847222</v>
      </c>
      <c r="AK214" s="2" t="s">
        <v>1687</v>
      </c>
    </row>
    <row r="215" spans="1:37" x14ac:dyDescent="0.15">
      <c r="A215" s="2" t="s">
        <v>1686</v>
      </c>
      <c r="B215">
        <v>1217</v>
      </c>
      <c r="C215" s="3">
        <v>41855</v>
      </c>
      <c r="D215" s="2" t="s">
        <v>37</v>
      </c>
      <c r="E215" s="2" t="s">
        <v>1685</v>
      </c>
      <c r="F215" s="2" t="s">
        <v>38</v>
      </c>
      <c r="G215" s="2" t="s">
        <v>463</v>
      </c>
      <c r="H215" s="2" t="s">
        <v>464</v>
      </c>
      <c r="I215" s="4">
        <v>100000</v>
      </c>
      <c r="J215" s="4">
        <v>0</v>
      </c>
      <c r="K215" s="4">
        <v>0</v>
      </c>
      <c r="L215" s="5"/>
      <c r="M215" s="5">
        <v>3.6</v>
      </c>
      <c r="N215" s="6">
        <v>3600</v>
      </c>
      <c r="O215" s="4">
        <v>0</v>
      </c>
      <c r="P215" s="4">
        <v>0</v>
      </c>
      <c r="Q215" s="6">
        <v>3600</v>
      </c>
      <c r="R215" s="4">
        <v>0</v>
      </c>
      <c r="S215" s="4">
        <v>0</v>
      </c>
      <c r="T215" s="4">
        <v>0</v>
      </c>
      <c r="U215" s="4">
        <v>0</v>
      </c>
      <c r="V215" s="6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3.4</v>
      </c>
      <c r="AB215" s="6">
        <v>0</v>
      </c>
      <c r="AC215" s="4">
        <v>0</v>
      </c>
      <c r="AD215" s="4">
        <v>0</v>
      </c>
      <c r="AE215" s="6">
        <v>0</v>
      </c>
      <c r="AF215" s="4">
        <v>0</v>
      </c>
      <c r="AG215" s="7">
        <v>0</v>
      </c>
      <c r="AH215" s="2" t="s">
        <v>37</v>
      </c>
      <c r="AI215">
        <v>0</v>
      </c>
      <c r="AJ215" s="3">
        <v>41912.6862847222</v>
      </c>
      <c r="AK215" s="2" t="s">
        <v>1684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5"/>
  <sheetViews>
    <sheetView topLeftCell="O1" zoomScale="85" zoomScaleNormal="85" workbookViewId="0">
      <selection activeCell="A6" sqref="A6:XFD6"/>
    </sheetView>
  </sheetViews>
  <sheetFormatPr defaultRowHeight="13.5" x14ac:dyDescent="0.15"/>
  <cols>
    <col min="1" max="1" width="40.5" bestFit="1" customWidth="1"/>
    <col min="2" max="2" width="10.75" bestFit="1" customWidth="1"/>
    <col min="3" max="3" width="20.5" bestFit="1" customWidth="1"/>
    <col min="4" max="4" width="14.5" bestFit="1" customWidth="1"/>
    <col min="5" max="6" width="40.5" bestFit="1" customWidth="1"/>
    <col min="7" max="7" width="15.875" bestFit="1" customWidth="1"/>
    <col min="8" max="8" width="42.5" bestFit="1" customWidth="1"/>
    <col min="9" max="9" width="18.25" bestFit="1" customWidth="1"/>
    <col min="10" max="10" width="15.75" bestFit="1" customWidth="1"/>
    <col min="11" max="11" width="22" bestFit="1" customWidth="1"/>
    <col min="12" max="12" width="20.75" bestFit="1" customWidth="1"/>
    <col min="13" max="13" width="18.25" bestFit="1" customWidth="1"/>
    <col min="14" max="15" width="25.75" bestFit="1" customWidth="1"/>
    <col min="16" max="16" width="27" bestFit="1" customWidth="1"/>
    <col min="17" max="17" width="24.5" bestFit="1" customWidth="1"/>
    <col min="18" max="18" width="23.25" bestFit="1" customWidth="1"/>
    <col min="19" max="19" width="29.5" bestFit="1" customWidth="1"/>
    <col min="20" max="20" width="22" bestFit="1" customWidth="1"/>
    <col min="21" max="21" width="28.25" bestFit="1" customWidth="1"/>
    <col min="22" max="22" width="19.5" bestFit="1" customWidth="1"/>
    <col min="23" max="23" width="27" bestFit="1" customWidth="1"/>
    <col min="24" max="24" width="33.25" bestFit="1" customWidth="1"/>
    <col min="25" max="25" width="17" bestFit="1" customWidth="1"/>
    <col min="26" max="26" width="23.25" bestFit="1" customWidth="1"/>
    <col min="27" max="27" width="9.625" bestFit="1" customWidth="1"/>
    <col min="28" max="29" width="17" bestFit="1" customWidth="1"/>
    <col min="30" max="30" width="18.25" bestFit="1" customWidth="1"/>
    <col min="31" max="31" width="15.75" bestFit="1" customWidth="1"/>
    <col min="32" max="33" width="17" bestFit="1" customWidth="1"/>
    <col min="34" max="34" width="15.75" style="64" bestFit="1" customWidth="1"/>
    <col min="35" max="35" width="9.625" bestFit="1" customWidth="1"/>
    <col min="36" max="36" width="20.5" bestFit="1" customWidth="1"/>
    <col min="37" max="37" width="63.75" bestFit="1" customWidth="1"/>
  </cols>
  <sheetData>
    <row r="1" spans="1:3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63" t="s">
        <v>33</v>
      </c>
      <c r="AI1" s="1" t="s">
        <v>34</v>
      </c>
      <c r="AJ1" s="1" t="s">
        <v>35</v>
      </c>
      <c r="AK1" s="1" t="s">
        <v>36</v>
      </c>
    </row>
    <row r="2" spans="1:37" x14ac:dyDescent="0.15">
      <c r="A2" s="2" t="s">
        <v>2325</v>
      </c>
      <c r="B2">
        <v>317</v>
      </c>
      <c r="C2" s="3">
        <v>39508</v>
      </c>
      <c r="D2" s="2" t="s">
        <v>37</v>
      </c>
      <c r="E2" s="2" t="s">
        <v>2324</v>
      </c>
      <c r="F2" s="2" t="s">
        <v>38</v>
      </c>
      <c r="G2" s="2" t="s">
        <v>39</v>
      </c>
      <c r="H2" s="2" t="s">
        <v>40</v>
      </c>
      <c r="I2" s="4">
        <f>VLOOKUP(G2,全部!C:M,11,FALSE)</f>
        <v>3950000</v>
      </c>
      <c r="J2" s="4">
        <f>K2</f>
        <v>838394.62</v>
      </c>
      <c r="K2" s="4">
        <f>VLOOKUP(计算!G2,全部!C:N,12,FALSE)</f>
        <v>838394.62</v>
      </c>
      <c r="L2" s="5">
        <f>VLOOKUP(G2,全部!C:P,14,FALSE)</f>
        <v>4596964</v>
      </c>
      <c r="M2" s="5">
        <f>VLOOKUP(G2,全部!C:V,20,FALSE)*100</f>
        <v>3.5999999999999996</v>
      </c>
      <c r="N2" s="6">
        <f>VLOOKUP(G2,全部!C:W,21,FALSE)</f>
        <v>172382.20632</v>
      </c>
      <c r="O2" s="4">
        <f>VLOOKUP(G2,全部!C:X,22,FALSE)</f>
        <v>179181</v>
      </c>
      <c r="P2" s="4">
        <f>VLOOKUP(G2,全部!C:Y,23,FALSE)</f>
        <v>179181</v>
      </c>
      <c r="Q2" s="6">
        <f>VLOOKUP(G2,全部!C:Z,24,FALSE)</f>
        <v>0</v>
      </c>
      <c r="R2" s="7">
        <f>VLOOKUP(G2,全部!C:AA,25,FALSE)</f>
        <v>4986186.2</v>
      </c>
      <c r="S2" s="7">
        <f>VLOOKUP(G2,全部!C:AB,26,FALSE)</f>
        <v>4986186.2</v>
      </c>
      <c r="T2" s="4">
        <f>VLOOKUP(计算!G2,全部!C:AC,27,FALSE)</f>
        <v>4986186.2</v>
      </c>
      <c r="U2" s="4">
        <f>VLOOKUP(G2,全部!C:AD,28,FALSE)</f>
        <v>4986186.2</v>
      </c>
      <c r="V2" s="6">
        <f>VLOOKUP(G2,全部!C:AE,29,FALSE)</f>
        <v>0.91736103330013574</v>
      </c>
      <c r="W2" s="4">
        <f>VLOOKUP(G2,全部!C:AF,30,FALSE)</f>
        <v>4931516.17</v>
      </c>
      <c r="X2" s="4">
        <f>VLOOKUP(G2,全部!C:AG,31,FALSE)</f>
        <v>4931516.17</v>
      </c>
      <c r="Y2" s="4">
        <f>VLOOKUP(计算!G2,全部!C:AH,32,FALSE)</f>
        <v>4979331.17</v>
      </c>
      <c r="Z2" s="4">
        <f>VLOOKUP(G2,全部!C:AL,36,FALSE)</f>
        <v>4979331.17</v>
      </c>
      <c r="AA2" s="4">
        <f>VLOOKUP(G2,全部!C:AM,37,FALSE)</f>
        <v>3.4000000000000002E-2</v>
      </c>
      <c r="AB2" s="6">
        <f>VLOOKUP(G2,全部!C:AN,38,FALSE)</f>
        <v>169530.33080000003</v>
      </c>
      <c r="AC2" s="4">
        <f>VLOOKUP(G2,全部!C:AO,39,FALSE)</f>
        <v>169529</v>
      </c>
      <c r="AD2" s="4">
        <f>VLOOKUP(G2,全部!C:AP,40,FALSE)</f>
        <v>169529</v>
      </c>
      <c r="AE2" s="6">
        <f>VLOOKUP(G2,全部!C:AQ,41,FALSE)</f>
        <v>0</v>
      </c>
      <c r="AF2" s="4">
        <f>VLOOKUP(G2,全部!C:AR,42,FALSE)</f>
        <v>0</v>
      </c>
      <c r="AG2" s="7">
        <f>VLOOKUP(G2,全部!C:AS,43,FALSE)</f>
        <v>0</v>
      </c>
      <c r="AH2" s="64" t="str">
        <f>IF(VLOOKUP(G2,全部!C:AT,44,FALSE)=0,"",VLOOKUP(G2,全部!C:AT,44,FALSE))</f>
        <v/>
      </c>
      <c r="AI2">
        <v>0</v>
      </c>
      <c r="AJ2" s="3">
        <v>41912.686249999999</v>
      </c>
      <c r="AK2" s="2" t="s">
        <v>2323</v>
      </c>
    </row>
    <row r="3" spans="1:37" x14ac:dyDescent="0.15">
      <c r="A3" s="2" t="s">
        <v>2322</v>
      </c>
      <c r="B3">
        <v>4</v>
      </c>
      <c r="C3" s="3">
        <v>39873</v>
      </c>
      <c r="D3" s="2" t="s">
        <v>37</v>
      </c>
      <c r="E3" s="2" t="s">
        <v>2321</v>
      </c>
      <c r="F3" s="2" t="s">
        <v>41</v>
      </c>
      <c r="G3" s="2" t="s">
        <v>42</v>
      </c>
      <c r="H3" s="2" t="s">
        <v>43</v>
      </c>
      <c r="I3" s="4">
        <f>VLOOKUP(G3,全部!C:M,11,FALSE)</f>
        <v>85000</v>
      </c>
      <c r="J3" s="4">
        <f t="shared" ref="J3:J66" si="0">K3</f>
        <v>0</v>
      </c>
      <c r="K3" s="4">
        <f>VLOOKUP(计算!G3,全部!C:N,12,FALSE)</f>
        <v>0</v>
      </c>
      <c r="L3" s="5">
        <f>VLOOKUP(G3,全部!C:P,14,FALSE)</f>
        <v>85000</v>
      </c>
      <c r="M3" s="5">
        <f>VLOOKUP(G3,全部!C:V,20,FALSE)*100</f>
        <v>6.6000000000000005</v>
      </c>
      <c r="N3" s="6">
        <f>VLOOKUP(G3,全部!C:W,21,FALSE)</f>
        <v>5610</v>
      </c>
      <c r="O3" s="4">
        <f>VLOOKUP(G3,全部!C:X,22,FALSE)</f>
        <v>5610</v>
      </c>
      <c r="P3" s="4">
        <f>VLOOKUP(G3,全部!C:Y,23,FALSE)</f>
        <v>5610</v>
      </c>
      <c r="Q3" s="6">
        <f>VLOOKUP(G3,全部!C:Z,24,FALSE)</f>
        <v>0</v>
      </c>
      <c r="R3" s="7">
        <f>VLOOKUP(G3,全部!C:AA,25,FALSE)</f>
        <v>0</v>
      </c>
      <c r="S3" s="7">
        <f>VLOOKUP(G3,全部!C:AB,26,FALSE)</f>
        <v>0</v>
      </c>
      <c r="T3" s="4">
        <f>VLOOKUP(计算!G3,全部!C:AC,27,FALSE)</f>
        <v>0</v>
      </c>
      <c r="U3" s="4">
        <f>VLOOKUP(G3,全部!C:AD,28,FALSE)</f>
        <v>0</v>
      </c>
      <c r="V3" s="6">
        <f>VLOOKUP(G3,全部!C:AE,29,FALSE)</f>
        <v>0</v>
      </c>
      <c r="W3" s="4">
        <f>VLOOKUP(G3,全部!C:AF,30,FALSE)</f>
        <v>0</v>
      </c>
      <c r="X3" s="4">
        <f>VLOOKUP(G3,全部!C:AG,31,FALSE)</f>
        <v>0</v>
      </c>
      <c r="Y3" s="4">
        <f>VLOOKUP(计算!G3,全部!C:AH,32,FALSE)</f>
        <v>41400</v>
      </c>
      <c r="Z3" s="4">
        <f>VLOOKUP(G3,全部!C:AL,36,FALSE)</f>
        <v>41400</v>
      </c>
      <c r="AA3" s="4">
        <f>VLOOKUP(G3,全部!C:AM,37,FALSE)</f>
        <v>3.4000000000000002E-2</v>
      </c>
      <c r="AB3" s="6">
        <f>VLOOKUP(G3,全部!C:AN,38,FALSE)</f>
        <v>2890</v>
      </c>
      <c r="AC3" s="4">
        <f>VLOOKUP(G3,全部!C:AO,39,FALSE)</f>
        <v>2890</v>
      </c>
      <c r="AD3" s="4">
        <f>VLOOKUP(G3,全部!C:AP,40,FALSE)</f>
        <v>2890</v>
      </c>
      <c r="AE3" s="6">
        <f>VLOOKUP(G3,全部!C:AQ,41,FALSE)</f>
        <v>0</v>
      </c>
      <c r="AF3" s="4">
        <f>VLOOKUP(G3,全部!C:AR,42,FALSE)</f>
        <v>0</v>
      </c>
      <c r="AG3" s="7">
        <f>VLOOKUP(G3,全部!C:AS,43,FALSE)</f>
        <v>0</v>
      </c>
      <c r="AH3" s="64" t="str">
        <f>IF(VLOOKUP(G3,全部!C:AT,44,FALSE)=0,"",VLOOKUP(G3,全部!C:AT,44,FALSE))</f>
        <v/>
      </c>
      <c r="AI3">
        <v>0</v>
      </c>
      <c r="AJ3" s="3">
        <v>41912.6862384259</v>
      </c>
      <c r="AK3" s="2" t="s">
        <v>2320</v>
      </c>
    </row>
    <row r="4" spans="1:37" x14ac:dyDescent="0.15">
      <c r="A4" s="2" t="s">
        <v>2319</v>
      </c>
      <c r="B4">
        <v>9</v>
      </c>
      <c r="C4" s="3">
        <v>40179</v>
      </c>
      <c r="D4" s="2" t="s">
        <v>37</v>
      </c>
      <c r="E4" s="2" t="s">
        <v>2318</v>
      </c>
      <c r="F4" s="2" t="s">
        <v>41</v>
      </c>
      <c r="G4" s="2" t="s">
        <v>44</v>
      </c>
      <c r="H4" s="2" t="s">
        <v>45</v>
      </c>
      <c r="I4" s="4">
        <f>VLOOKUP(G4,全部!C:M,11,FALSE)</f>
        <v>7494658.1799999997</v>
      </c>
      <c r="J4" s="4">
        <f t="shared" si="0"/>
        <v>0</v>
      </c>
      <c r="K4" s="4">
        <f>VLOOKUP(计算!G4,全部!C:N,12,FALSE)</f>
        <v>0</v>
      </c>
      <c r="L4" s="5">
        <f>VLOOKUP(G4,全部!C:P,14,FALSE)</f>
        <v>0</v>
      </c>
      <c r="M4" s="5">
        <f>VLOOKUP(G4,全部!C:V,20,FALSE)*100</f>
        <v>6.6000000000000005</v>
      </c>
      <c r="N4" s="6">
        <f>VLOOKUP(G4,全部!C:W,21,FALSE)</f>
        <v>494647.43988000002</v>
      </c>
      <c r="O4" s="4">
        <f>VLOOKUP(G4,全部!C:X,22,FALSE)</f>
        <v>494647.44</v>
      </c>
      <c r="P4" s="4">
        <f>VLOOKUP(G4,全部!C:Y,23,FALSE)</f>
        <v>494647.44</v>
      </c>
      <c r="Q4" s="6">
        <f>VLOOKUP(G4,全部!C:Z,24,FALSE)</f>
        <v>-1.1999998241662979E-4</v>
      </c>
      <c r="R4" s="7">
        <f>VLOOKUP(G4,全部!C:AA,25,FALSE)</f>
        <v>0</v>
      </c>
      <c r="S4" s="7">
        <f>VLOOKUP(G4,全部!C:AB,26,FALSE)</f>
        <v>0</v>
      </c>
      <c r="T4" s="4">
        <f>VLOOKUP(计算!G4,全部!C:AC,27,FALSE)</f>
        <v>7381694.04</v>
      </c>
      <c r="U4" s="4">
        <f>VLOOKUP(G4,全部!C:AD,28,FALSE)</f>
        <v>7381694.04</v>
      </c>
      <c r="V4" s="6">
        <f>VLOOKUP(G4,全部!C:AE,29,FALSE)</f>
        <v>0.98492737930310792</v>
      </c>
      <c r="W4" s="4">
        <f>VLOOKUP(G4,全部!C:AF,30,FALSE)</f>
        <v>0</v>
      </c>
      <c r="X4" s="4">
        <f>VLOOKUP(G4,全部!C:AG,31,FALSE)</f>
        <v>0</v>
      </c>
      <c r="Y4" s="4">
        <f>VLOOKUP(计算!G4,全部!C:AH,32,FALSE)</f>
        <v>6578447.8700000001</v>
      </c>
      <c r="Z4" s="4">
        <f>VLOOKUP(G4,全部!C:AL,36,FALSE)</f>
        <v>6578447.8700000001</v>
      </c>
      <c r="AA4" s="4">
        <f>VLOOKUP(G4,全部!C:AM,37,FALSE)</f>
        <v>3.4000000000000002E-2</v>
      </c>
      <c r="AB4" s="6">
        <f>VLOOKUP(G4,全部!C:AN,38,FALSE)</f>
        <v>254818.37812000001</v>
      </c>
      <c r="AC4" s="4">
        <f>VLOOKUP(G4,全部!C:AO,39,FALSE)</f>
        <v>254818.38</v>
      </c>
      <c r="AD4" s="4">
        <f>VLOOKUP(G4,全部!C:AP,40,FALSE)</f>
        <v>254818.38</v>
      </c>
      <c r="AE4" s="6">
        <f>VLOOKUP(G4,全部!C:AQ,41,FALSE)</f>
        <v>-1.879999996162951E-3</v>
      </c>
      <c r="AF4" s="4">
        <f>VLOOKUP(G4,全部!C:AR,42,FALSE)</f>
        <v>0</v>
      </c>
      <c r="AG4" s="7">
        <f>VLOOKUP(G4,全部!C:AS,43,FALSE)</f>
        <v>0</v>
      </c>
      <c r="AH4" s="64" t="str">
        <f>IF(VLOOKUP(G4,全部!C:AT,44,FALSE)=0,"",VLOOKUP(G4,全部!C:AT,44,FALSE))</f>
        <v/>
      </c>
      <c r="AI4">
        <v>0</v>
      </c>
      <c r="AJ4" s="3">
        <v>41912.6862384259</v>
      </c>
      <c r="AK4" s="2" t="s">
        <v>2317</v>
      </c>
    </row>
    <row r="5" spans="1:37" x14ac:dyDescent="0.15">
      <c r="A5" s="2" t="s">
        <v>2316</v>
      </c>
      <c r="B5">
        <v>14</v>
      </c>
      <c r="C5" s="3">
        <v>40210</v>
      </c>
      <c r="D5" s="2" t="s">
        <v>37</v>
      </c>
      <c r="E5" s="2" t="s">
        <v>2315</v>
      </c>
      <c r="F5" s="2" t="s">
        <v>41</v>
      </c>
      <c r="G5" s="2" t="s">
        <v>46</v>
      </c>
      <c r="H5" s="2" t="s">
        <v>47</v>
      </c>
      <c r="I5" s="4">
        <f>VLOOKUP(G5,全部!C:M,11,FALSE)</f>
        <v>3283372.21</v>
      </c>
      <c r="J5" s="4">
        <f t="shared" si="0"/>
        <v>0</v>
      </c>
      <c r="K5" s="4">
        <f>VLOOKUP(计算!G5,全部!C:N,12,FALSE)</f>
        <v>0</v>
      </c>
      <c r="L5" s="5">
        <f>VLOOKUP(G5,全部!C:P,14,FALSE)</f>
        <v>0</v>
      </c>
      <c r="M5" s="5">
        <f>VLOOKUP(G5,全部!C:V,20,FALSE)*100</f>
        <v>6.6000000000000005</v>
      </c>
      <c r="N5" s="6">
        <f>VLOOKUP(G5,全部!C:W,21,FALSE)</f>
        <v>216702.56586</v>
      </c>
      <c r="O5" s="4">
        <f>VLOOKUP(G5,全部!C:X,22,FALSE)</f>
        <v>216702.57</v>
      </c>
      <c r="P5" s="4">
        <f>VLOOKUP(G5,全部!C:Y,23,FALSE)</f>
        <v>216702.57</v>
      </c>
      <c r="Q5" s="6">
        <f>VLOOKUP(G5,全部!C:Z,24,FALSE)</f>
        <v>-4.1400000045541674E-3</v>
      </c>
      <c r="R5" s="7">
        <f>VLOOKUP(G5,全部!C:AA,25,FALSE)</f>
        <v>0</v>
      </c>
      <c r="S5" s="7">
        <f>VLOOKUP(G5,全部!C:AB,26,FALSE)</f>
        <v>0</v>
      </c>
      <c r="T5" s="4">
        <f>VLOOKUP(计算!G5,全部!C:AC,27,FALSE)</f>
        <v>2641685</v>
      </c>
      <c r="U5" s="4">
        <f>VLOOKUP(G5,全部!C:AD,28,FALSE)</f>
        <v>2641685</v>
      </c>
      <c r="V5" s="6">
        <f>VLOOKUP(G5,全部!C:AE,29,FALSE)</f>
        <v>0.80456458514034879</v>
      </c>
      <c r="W5" s="4">
        <f>VLOOKUP(G5,全部!C:AF,30,FALSE)</f>
        <v>0</v>
      </c>
      <c r="X5" s="4">
        <f>VLOOKUP(G5,全部!C:AG,31,FALSE)</f>
        <v>0</v>
      </c>
      <c r="Y5" s="4">
        <f>VLOOKUP(计算!G5,全部!C:AH,32,FALSE)</f>
        <v>0</v>
      </c>
      <c r="Z5" s="4">
        <f>VLOOKUP(G5,全部!C:AL,36,FALSE)</f>
        <v>2551867.71</v>
      </c>
      <c r="AA5" s="4">
        <f>VLOOKUP(G5,全部!C:AM,37,FALSE)</f>
        <v>3.4000000000000002E-2</v>
      </c>
      <c r="AB5" s="6">
        <f>VLOOKUP(G5,全部!C:AN,38,FALSE)</f>
        <v>111634.65514</v>
      </c>
      <c r="AC5" s="4">
        <f>VLOOKUP(G5,全部!C:AO,39,FALSE)</f>
        <v>89817.29</v>
      </c>
      <c r="AD5" s="4">
        <f>VLOOKUP(G5,全部!C:AP,40,FALSE)</f>
        <v>89817.29</v>
      </c>
      <c r="AE5" s="6">
        <f>VLOOKUP(G5,全部!C:AQ,41,FALSE)</f>
        <v>21817.365140000009</v>
      </c>
      <c r="AF5" s="4">
        <f>VLOOKUP(G5,全部!C:AR,42,FALSE)</f>
        <v>704031.49</v>
      </c>
      <c r="AG5" s="7">
        <f>VLOOKUP(G5,全部!C:AS,43,FALSE)</f>
        <v>0</v>
      </c>
      <c r="AH5" s="64" t="str">
        <f>IF(VLOOKUP(G5,全部!C:AT,44,FALSE)=0,"",VLOOKUP(G5,全部!C:AT,44,FALSE))</f>
        <v/>
      </c>
      <c r="AI5">
        <v>0</v>
      </c>
      <c r="AJ5" s="3">
        <v>41912.6862384259</v>
      </c>
      <c r="AK5" s="2" t="s">
        <v>2314</v>
      </c>
    </row>
    <row r="6" spans="1:37" x14ac:dyDescent="0.15">
      <c r="A6" s="2" t="s">
        <v>2313</v>
      </c>
      <c r="B6">
        <v>18</v>
      </c>
      <c r="C6" s="3">
        <v>40238</v>
      </c>
      <c r="D6" s="2" t="s">
        <v>37</v>
      </c>
      <c r="E6" s="2" t="s">
        <v>2312</v>
      </c>
      <c r="F6" s="2" t="s">
        <v>41</v>
      </c>
      <c r="G6" s="2" t="s">
        <v>2327</v>
      </c>
      <c r="H6" s="2" t="s">
        <v>49</v>
      </c>
      <c r="I6" s="4">
        <f>VLOOKUP(G6,全部!C:M,11,FALSE)</f>
        <v>7212049</v>
      </c>
      <c r="J6" s="4">
        <f t="shared" si="0"/>
        <v>0</v>
      </c>
      <c r="K6" s="4">
        <f>VLOOKUP(计算!G6,全部!C:N,12,FALSE)</f>
        <v>0</v>
      </c>
      <c r="L6" s="5">
        <f>VLOOKUP(G6,全部!C:P,14,FALSE)</f>
        <v>0</v>
      </c>
      <c r="M6" s="5">
        <f>VLOOKUP(G6,全部!C:V,20,FALSE)*100</f>
        <v>6.6000000000000005</v>
      </c>
      <c r="N6" s="6">
        <f>VLOOKUP(G6,全部!C:W,21,FALSE)</f>
        <v>475995.234</v>
      </c>
      <c r="O6" s="4">
        <f>VLOOKUP(G6,全部!C:X,22,FALSE)</f>
        <v>475995.23</v>
      </c>
      <c r="P6" s="4">
        <f>VLOOKUP(G6,全部!C:Y,23,FALSE)</f>
        <v>475995.23</v>
      </c>
      <c r="Q6" s="6">
        <f>VLOOKUP(G6,全部!C:Z,24,FALSE)</f>
        <v>4.0000000153668225E-3</v>
      </c>
      <c r="R6" s="7">
        <f>VLOOKUP(G6,全部!C:AA,25,FALSE)</f>
        <v>0</v>
      </c>
      <c r="S6" s="7">
        <f>VLOOKUP(G6,全部!C:AB,26,FALSE)</f>
        <v>0</v>
      </c>
      <c r="T6" s="4">
        <f>VLOOKUP(计算!G6,全部!C:AC,27,FALSE)</f>
        <v>6569639.2000000002</v>
      </c>
      <c r="U6" s="4">
        <f>VLOOKUP(G6,全部!C:AD,28,FALSE)</f>
        <v>6569639.2000000002</v>
      </c>
      <c r="V6" s="6">
        <f>VLOOKUP(G6,全部!C:AE,29,FALSE)</f>
        <v>0.91092548040092358</v>
      </c>
      <c r="W6" s="4">
        <f>VLOOKUP(G6,全部!C:AF,30,FALSE)</f>
        <v>0</v>
      </c>
      <c r="X6" s="4">
        <f>VLOOKUP(G6,全部!C:AG,31,FALSE)</f>
        <v>0</v>
      </c>
      <c r="Y6" s="4">
        <f>VLOOKUP(计算!G6,全部!C:AH,32,FALSE)</f>
        <v>0</v>
      </c>
      <c r="Z6" s="4">
        <f>VLOOKUP(G6,全部!C:AL,36,FALSE)</f>
        <v>6277110.3499999996</v>
      </c>
      <c r="AA6" s="4">
        <f>VLOOKUP(G6,全部!C:AM,37,FALSE)</f>
        <v>3.4000000000000002E-2</v>
      </c>
      <c r="AB6" s="6">
        <f>VLOOKUP(G6,全部!C:AN,38,FALSE)</f>
        <v>245209.66600000003</v>
      </c>
      <c r="AC6" s="4">
        <f>VLOOKUP(G6,全部!C:AO,39,FALSE)</f>
        <v>223367.73</v>
      </c>
      <c r="AD6" s="4">
        <f>VLOOKUP(G6,全部!C:AP,40,FALSE)</f>
        <v>223367.73</v>
      </c>
      <c r="AE6" s="6">
        <f>VLOOKUP(G6,全部!C:AQ,41,FALSE)</f>
        <v>21841.936000000016</v>
      </c>
      <c r="AF6" s="4">
        <f>VLOOKUP(G6,全部!C:AR,42,FALSE)</f>
        <v>0</v>
      </c>
      <c r="AG6" s="7">
        <f>VLOOKUP(G6,全部!C:AS,43,FALSE)</f>
        <v>0</v>
      </c>
      <c r="AH6" s="64" t="str">
        <f>IF(VLOOKUP(G6,全部!C:AT,44,FALSE)=0,"",VLOOKUP(G6,全部!C:AT,44,FALSE))</f>
        <v/>
      </c>
      <c r="AI6">
        <v>0</v>
      </c>
      <c r="AJ6" s="3">
        <v>41912.6862384259</v>
      </c>
      <c r="AK6" s="2" t="s">
        <v>2311</v>
      </c>
    </row>
    <row r="7" spans="1:37" x14ac:dyDescent="0.15">
      <c r="A7" s="2" t="s">
        <v>2310</v>
      </c>
      <c r="B7">
        <v>325</v>
      </c>
      <c r="C7" s="3">
        <v>40283</v>
      </c>
      <c r="D7" s="2" t="s">
        <v>37</v>
      </c>
      <c r="E7" s="2" t="s">
        <v>2309</v>
      </c>
      <c r="F7" s="2" t="s">
        <v>38</v>
      </c>
      <c r="G7" s="2" t="s">
        <v>50</v>
      </c>
      <c r="H7" s="2" t="s">
        <v>51</v>
      </c>
      <c r="I7" s="4">
        <f>VLOOKUP(G7,全部!C:M,11,FALSE)</f>
        <v>4300000</v>
      </c>
      <c r="J7" s="4">
        <f t="shared" si="0"/>
        <v>0</v>
      </c>
      <c r="K7" s="4">
        <f>VLOOKUP(计算!G7,全部!C:N,12,FALSE)</f>
        <v>0</v>
      </c>
      <c r="L7" s="5">
        <f>VLOOKUP(G7,全部!C:P,14,FALSE)</f>
        <v>0</v>
      </c>
      <c r="M7" s="5">
        <f>VLOOKUP(G7,全部!C:V,20,FALSE)*100</f>
        <v>3.5999999999999996</v>
      </c>
      <c r="N7" s="6">
        <f>VLOOKUP(G7,全部!C:W,21,FALSE)</f>
        <v>154800</v>
      </c>
      <c r="O7" s="4">
        <f>VLOOKUP(G7,全部!C:X,22,FALSE)</f>
        <v>154800</v>
      </c>
      <c r="P7" s="4">
        <f>VLOOKUP(G7,全部!C:Y,23,FALSE)</f>
        <v>154800</v>
      </c>
      <c r="Q7" s="6">
        <f>VLOOKUP(G7,全部!C:Z,24,FALSE)</f>
        <v>0</v>
      </c>
      <c r="R7" s="7">
        <f>VLOOKUP(G7,全部!C:AA,25,FALSE)</f>
        <v>3940000</v>
      </c>
      <c r="S7" s="7">
        <f>VLOOKUP(G7,全部!C:AB,26,FALSE)</f>
        <v>3940000</v>
      </c>
      <c r="T7" s="4">
        <f>VLOOKUP(计算!G7,全部!C:AC,27,FALSE)</f>
        <v>3940000</v>
      </c>
      <c r="U7" s="4">
        <f>VLOOKUP(G7,全部!C:AD,28,FALSE)</f>
        <v>3940000</v>
      </c>
      <c r="V7" s="6">
        <f>VLOOKUP(G7,全部!C:AE,29,FALSE)</f>
        <v>0.91627906976744189</v>
      </c>
      <c r="W7" s="4">
        <f>VLOOKUP(G7,全部!C:AF,30,FALSE)</f>
        <v>3814968.9</v>
      </c>
      <c r="X7" s="4">
        <f>VLOOKUP(G7,全部!C:AG,31,FALSE)</f>
        <v>3814968.9</v>
      </c>
      <c r="Y7" s="4">
        <f>VLOOKUP(计算!G7,全部!C:AH,32,FALSE)</f>
        <v>3908218.9</v>
      </c>
      <c r="Z7" s="4">
        <f>VLOOKUP(G7,全部!C:AL,36,FALSE)</f>
        <v>3908218.9</v>
      </c>
      <c r="AA7" s="4">
        <f>VLOOKUP(G7,全部!C:AM,37,FALSE)</f>
        <v>3.4000000000000002E-2</v>
      </c>
      <c r="AB7" s="6">
        <f>VLOOKUP(G7,全部!C:AN,38,FALSE)</f>
        <v>133960</v>
      </c>
      <c r="AC7" s="4">
        <f>VLOOKUP(G7,全部!C:AO,39,FALSE)</f>
        <v>133960</v>
      </c>
      <c r="AD7" s="4">
        <f>VLOOKUP(G7,全部!C:AP,40,FALSE)</f>
        <v>133960</v>
      </c>
      <c r="AE7" s="6">
        <f>VLOOKUP(G7,全部!C:AQ,41,FALSE)</f>
        <v>0</v>
      </c>
      <c r="AF7" s="4">
        <f>VLOOKUP(G7,全部!C:AR,42,FALSE)</f>
        <v>0</v>
      </c>
      <c r="AG7" s="7">
        <f>VLOOKUP(G7,全部!C:AS,43,FALSE)</f>
        <v>65</v>
      </c>
      <c r="AH7" s="64" t="str">
        <f>IF(VLOOKUP(G7,全部!C:AT,44,FALSE)=0,"",VLOOKUP(G7,全部!C:AT,44,FALSE))</f>
        <v>亦庄</v>
      </c>
      <c r="AI7">
        <v>0</v>
      </c>
      <c r="AJ7" s="3">
        <v>41912.686249999999</v>
      </c>
      <c r="AK7" s="2" t="s">
        <v>2308</v>
      </c>
    </row>
    <row r="8" spans="1:37" x14ac:dyDescent="0.15">
      <c r="A8" s="2" t="s">
        <v>2307</v>
      </c>
      <c r="B8">
        <v>340</v>
      </c>
      <c r="C8" s="3">
        <v>40467</v>
      </c>
      <c r="D8" s="2" t="s">
        <v>37</v>
      </c>
      <c r="E8" s="2" t="s">
        <v>2306</v>
      </c>
      <c r="F8" s="2" t="s">
        <v>38</v>
      </c>
      <c r="G8" s="2" t="s">
        <v>53</v>
      </c>
      <c r="H8" s="2" t="s">
        <v>54</v>
      </c>
      <c r="I8" s="4">
        <f>VLOOKUP(G8,全部!C:M,11,FALSE)</f>
        <v>1787170</v>
      </c>
      <c r="J8" s="4">
        <f t="shared" si="0"/>
        <v>868000</v>
      </c>
      <c r="K8" s="4">
        <f>VLOOKUP(计算!G8,全部!C:N,12,FALSE)</f>
        <v>868000</v>
      </c>
      <c r="L8" s="5">
        <f>VLOOKUP(G8,全部!C:P,14,FALSE)</f>
        <v>2610000</v>
      </c>
      <c r="M8" s="5">
        <f>VLOOKUP(G8,全部!C:V,20,FALSE)*100</f>
        <v>3.5999999999999996</v>
      </c>
      <c r="N8" s="6">
        <f>VLOOKUP(G8,全部!C:W,21,FALSE)</f>
        <v>93960</v>
      </c>
      <c r="O8" s="4">
        <f>VLOOKUP(G8,全部!C:X,22,FALSE)</f>
        <v>94830</v>
      </c>
      <c r="P8" s="4">
        <f>VLOOKUP(G8,全部!C:Y,23,FALSE)</f>
        <v>94830</v>
      </c>
      <c r="Q8" s="6">
        <f>VLOOKUP(G8,全部!C:Z,24,FALSE)</f>
        <v>0</v>
      </c>
      <c r="R8" s="7">
        <f>VLOOKUP(G8,全部!C:AA,25,FALSE)</f>
        <v>2610000</v>
      </c>
      <c r="S8" s="7">
        <f>VLOOKUP(G8,全部!C:AB,26,FALSE)</f>
        <v>2610000</v>
      </c>
      <c r="T8" s="4">
        <f>VLOOKUP(计算!G8,全部!C:AC,27,FALSE)</f>
        <v>2410000</v>
      </c>
      <c r="U8" s="4">
        <f>VLOOKUP(G8,全部!C:AD,28,FALSE)</f>
        <v>2410000</v>
      </c>
      <c r="V8" s="6">
        <f>VLOOKUP(G8,全部!C:AE,29,FALSE)</f>
        <v>0.92337164750957856</v>
      </c>
      <c r="W8" s="4">
        <f>VLOOKUP(G8,全部!C:AF,30,FALSE)</f>
        <v>2356517</v>
      </c>
      <c r="X8" s="4">
        <f>VLOOKUP(G8,全部!C:AG,31,FALSE)</f>
        <v>2356517</v>
      </c>
      <c r="Y8" s="4">
        <f>VLOOKUP(计算!G8,全部!C:AH,32,FALSE)</f>
        <v>2407227.08</v>
      </c>
      <c r="Z8" s="4">
        <f>VLOOKUP(G8,全部!C:AL,36,FALSE)</f>
        <v>2407227.08</v>
      </c>
      <c r="AA8" s="4">
        <f>VLOOKUP(G8,全部!C:AM,37,FALSE)</f>
        <v>3.4000000000000002E-2</v>
      </c>
      <c r="AB8" s="6">
        <f>VLOOKUP(G8,全部!C:AN,38,FALSE)</f>
        <v>88740</v>
      </c>
      <c r="AC8" s="4">
        <f>VLOOKUP(G8,全部!C:AO,39,FALSE)</f>
        <v>88740</v>
      </c>
      <c r="AD8" s="4">
        <f>VLOOKUP(G8,全部!C:AP,40,FALSE)</f>
        <v>88740</v>
      </c>
      <c r="AE8" s="6">
        <f>VLOOKUP(G8,全部!C:AQ,41,FALSE)</f>
        <v>0</v>
      </c>
      <c r="AF8" s="4">
        <f>VLOOKUP(G8,全部!C:AR,42,FALSE)</f>
        <v>0</v>
      </c>
      <c r="AG8" s="7">
        <f>VLOOKUP(G8,全部!C:AS,43,FALSE)</f>
        <v>0</v>
      </c>
      <c r="AH8" s="64" t="str">
        <f>IF(VLOOKUP(G8,全部!C:AT,44,FALSE)=0,"",VLOOKUP(G8,全部!C:AT,44,FALSE))</f>
        <v/>
      </c>
      <c r="AI8">
        <v>0</v>
      </c>
      <c r="AJ8" s="3">
        <v>41912.686249999999</v>
      </c>
      <c r="AK8" s="2" t="s">
        <v>2305</v>
      </c>
    </row>
    <row r="9" spans="1:37" x14ac:dyDescent="0.15">
      <c r="A9" s="2" t="s">
        <v>2304</v>
      </c>
      <c r="B9">
        <v>332</v>
      </c>
      <c r="C9" s="3">
        <v>40491</v>
      </c>
      <c r="D9" s="2" t="s">
        <v>37</v>
      </c>
      <c r="E9" s="2" t="s">
        <v>2303</v>
      </c>
      <c r="F9" s="2" t="s">
        <v>38</v>
      </c>
      <c r="G9" s="2" t="s">
        <v>55</v>
      </c>
      <c r="H9" s="2" t="s">
        <v>56</v>
      </c>
      <c r="I9" s="4">
        <f>VLOOKUP(G9,全部!C:M,11,FALSE)</f>
        <v>842038</v>
      </c>
      <c r="J9" s="4">
        <f t="shared" si="0"/>
        <v>0</v>
      </c>
      <c r="K9" s="4">
        <f>VLOOKUP(计算!G9,全部!C:N,12,FALSE)</f>
        <v>0</v>
      </c>
      <c r="L9" s="5">
        <f>VLOOKUP(G9,全部!C:P,14,FALSE)</f>
        <v>0</v>
      </c>
      <c r="M9" s="5">
        <f>VLOOKUP(G9,全部!C:V,20,FALSE)*100</f>
        <v>3.5999999999999996</v>
      </c>
      <c r="N9" s="6">
        <f>VLOOKUP(G9,全部!C:W,21,FALSE)</f>
        <v>30313.367999999999</v>
      </c>
      <c r="O9" s="4">
        <f>VLOOKUP(G9,全部!C:X,22,FALSE)</f>
        <v>30313</v>
      </c>
      <c r="P9" s="4">
        <f>VLOOKUP(G9,全部!C:Y,23,FALSE)</f>
        <v>30313</v>
      </c>
      <c r="Q9" s="6">
        <f>VLOOKUP(G9,全部!C:Z,24,FALSE)</f>
        <v>0</v>
      </c>
      <c r="R9" s="7">
        <f>VLOOKUP(G9,全部!C:AA,25,FALSE)</f>
        <v>700000</v>
      </c>
      <c r="S9" s="7">
        <f>VLOOKUP(G9,全部!C:AB,26,FALSE)</f>
        <v>700000</v>
      </c>
      <c r="T9" s="4">
        <f>VLOOKUP(计算!G9,全部!C:AC,27,FALSE)</f>
        <v>700000</v>
      </c>
      <c r="U9" s="4">
        <f>VLOOKUP(G9,全部!C:AD,28,FALSE)</f>
        <v>700000</v>
      </c>
      <c r="V9" s="6">
        <f>VLOOKUP(G9,全部!C:AE,29,FALSE)</f>
        <v>0.83131640139756158</v>
      </c>
      <c r="W9" s="4">
        <f>VLOOKUP(G9,全部!C:AF,30,FALSE)</f>
        <v>693200</v>
      </c>
      <c r="X9" s="4">
        <f>VLOOKUP(G9,全部!C:AG,31,FALSE)</f>
        <v>693200</v>
      </c>
      <c r="Y9" s="4">
        <f>VLOOKUP(计算!G9,全部!C:AH,32,FALSE)</f>
        <v>693200</v>
      </c>
      <c r="Z9" s="4">
        <f>VLOOKUP(G9,全部!C:AL,36,FALSE)</f>
        <v>693200</v>
      </c>
      <c r="AA9" s="4">
        <f>VLOOKUP(G9,全部!C:AM,37,FALSE)</f>
        <v>3.4000000000000002E-2</v>
      </c>
      <c r="AB9" s="6">
        <f>VLOOKUP(G9,全部!C:AN,38,FALSE)</f>
        <v>23800</v>
      </c>
      <c r="AC9" s="4">
        <f>VLOOKUP(G9,全部!C:AO,39,FALSE)</f>
        <v>17000</v>
      </c>
      <c r="AD9" s="4">
        <f>VLOOKUP(G9,全部!C:AP,40,FALSE)</f>
        <v>17000</v>
      </c>
      <c r="AE9" s="6">
        <f>VLOOKUP(G9,全部!C:AQ,41,FALSE)</f>
        <v>6800</v>
      </c>
      <c r="AF9" s="4">
        <f>VLOOKUP(G9,全部!C:AR,42,FALSE)</f>
        <v>0</v>
      </c>
      <c r="AG9" s="7">
        <f>VLOOKUP(G9,全部!C:AS,43,FALSE)</f>
        <v>0</v>
      </c>
      <c r="AH9" s="64" t="str">
        <f>IF(VLOOKUP(G9,全部!C:AT,44,FALSE)=0,"",VLOOKUP(G9,全部!C:AT,44,FALSE))</f>
        <v/>
      </c>
      <c r="AI9">
        <v>0</v>
      </c>
      <c r="AJ9" s="3">
        <v>41912.686249999999</v>
      </c>
      <c r="AK9" s="2" t="s">
        <v>2302</v>
      </c>
    </row>
    <row r="10" spans="1:37" x14ac:dyDescent="0.15">
      <c r="A10" s="2" t="s">
        <v>2301</v>
      </c>
      <c r="B10">
        <v>19</v>
      </c>
      <c r="C10" s="3">
        <v>40544</v>
      </c>
      <c r="D10" s="2" t="s">
        <v>37</v>
      </c>
      <c r="E10" s="2" t="s">
        <v>2300</v>
      </c>
      <c r="F10" s="2" t="s">
        <v>41</v>
      </c>
      <c r="G10" s="2" t="s">
        <v>57</v>
      </c>
      <c r="H10" s="2" t="s">
        <v>58</v>
      </c>
      <c r="I10" s="4">
        <f>VLOOKUP(G10,全部!C:M,11,FALSE)</f>
        <v>66000</v>
      </c>
      <c r="J10" s="4">
        <f t="shared" si="0"/>
        <v>0</v>
      </c>
      <c r="K10" s="4">
        <f>VLOOKUP(计算!G10,全部!C:N,12,FALSE)</f>
        <v>0</v>
      </c>
      <c r="L10" s="5">
        <f>VLOOKUP(G10,全部!C:P,14,FALSE)</f>
        <v>0</v>
      </c>
      <c r="M10" s="5">
        <f>VLOOKUP(G10,全部!C:V,20,FALSE)*100</f>
        <v>6.6000000000000005</v>
      </c>
      <c r="N10" s="6">
        <f>VLOOKUP(G10,全部!C:W,21,FALSE)</f>
        <v>4356</v>
      </c>
      <c r="O10" s="4">
        <f>VLOOKUP(G10,全部!C:X,22,FALSE)</f>
        <v>0</v>
      </c>
      <c r="P10" s="4">
        <f>VLOOKUP(G10,全部!C:Y,23,FALSE)</f>
        <v>0</v>
      </c>
      <c r="Q10" s="6">
        <f>VLOOKUP(G10,全部!C:Z,24,FALSE)</f>
        <v>4356</v>
      </c>
      <c r="R10" s="7">
        <f>VLOOKUP(G10,全部!C:AA,25,FALSE)</f>
        <v>0</v>
      </c>
      <c r="S10" s="7">
        <f>VLOOKUP(G10,全部!C:AB,26,FALSE)</f>
        <v>0</v>
      </c>
      <c r="T10" s="4">
        <f>VLOOKUP(计算!G10,全部!C:AC,27,FALSE)</f>
        <v>0</v>
      </c>
      <c r="U10" s="4">
        <f>VLOOKUP(G10,全部!C:AD,28,FALSE)</f>
        <v>0</v>
      </c>
      <c r="V10" s="6">
        <f>VLOOKUP(G10,全部!C:AE,29,FALSE)</f>
        <v>0</v>
      </c>
      <c r="W10" s="4">
        <f>VLOOKUP(G10,全部!C:AF,30,FALSE)</f>
        <v>0</v>
      </c>
      <c r="X10" s="4">
        <f>VLOOKUP(G10,全部!C:AG,31,FALSE)</f>
        <v>0</v>
      </c>
      <c r="Y10" s="4">
        <f>VLOOKUP(计算!G10,全部!C:AH,32,FALSE)</f>
        <v>0</v>
      </c>
      <c r="Z10" s="4">
        <f>VLOOKUP(G10,全部!C:AL,36,FALSE)</f>
        <v>0</v>
      </c>
      <c r="AA10" s="4">
        <f>VLOOKUP(G10,全部!C:AM,37,FALSE)</f>
        <v>3.4000000000000002E-2</v>
      </c>
      <c r="AB10" s="6">
        <f>VLOOKUP(G10,全部!C:AN,38,FALSE)</f>
        <v>2244</v>
      </c>
      <c r="AC10" s="4">
        <f>VLOOKUP(G10,全部!C:AO,39,FALSE)</f>
        <v>0</v>
      </c>
      <c r="AD10" s="4">
        <f>VLOOKUP(G10,全部!C:AP,40,FALSE)</f>
        <v>0</v>
      </c>
      <c r="AE10" s="6">
        <f>VLOOKUP(G10,全部!C:AQ,41,FALSE)</f>
        <v>2244</v>
      </c>
      <c r="AF10" s="4">
        <f>VLOOKUP(G10,全部!C:AR,42,FALSE)</f>
        <v>0</v>
      </c>
      <c r="AG10" s="7">
        <f>VLOOKUP(G10,全部!C:AS,43,FALSE)</f>
        <v>0</v>
      </c>
      <c r="AH10" s="64" t="str">
        <f>IF(VLOOKUP(G10,全部!C:AT,44,FALSE)=0,"",VLOOKUP(G10,全部!C:AT,44,FALSE))</f>
        <v/>
      </c>
      <c r="AI10">
        <v>0</v>
      </c>
      <c r="AJ10" s="3">
        <v>41912.6862384259</v>
      </c>
      <c r="AK10" s="2" t="s">
        <v>2299</v>
      </c>
    </row>
    <row r="11" spans="1:37" x14ac:dyDescent="0.15">
      <c r="A11" s="2" t="s">
        <v>2298</v>
      </c>
      <c r="B11">
        <v>23</v>
      </c>
      <c r="C11" s="3">
        <v>40664</v>
      </c>
      <c r="D11" s="2" t="s">
        <v>37</v>
      </c>
      <c r="E11" s="2" t="s">
        <v>2297</v>
      </c>
      <c r="F11" s="2" t="s">
        <v>41</v>
      </c>
      <c r="G11" s="2" t="s">
        <v>59</v>
      </c>
      <c r="H11" s="2" t="s">
        <v>60</v>
      </c>
      <c r="I11" s="4">
        <f>VLOOKUP(G11,全部!C:M,11,FALSE)</f>
        <v>3283372.21</v>
      </c>
      <c r="J11" s="4">
        <f t="shared" si="0"/>
        <v>0</v>
      </c>
      <c r="K11" s="4">
        <f>VLOOKUP(计算!G11,全部!C:N,12,FALSE)</f>
        <v>0</v>
      </c>
      <c r="L11" s="5">
        <f>VLOOKUP(G11,全部!C:P,14,FALSE)</f>
        <v>0</v>
      </c>
      <c r="M11" s="5">
        <f>VLOOKUP(G11,全部!C:V,20,FALSE)*100</f>
        <v>6.6000000000000005</v>
      </c>
      <c r="N11" s="6">
        <f>VLOOKUP(G11,全部!C:W,21,FALSE)</f>
        <v>216702.56586</v>
      </c>
      <c r="O11" s="4">
        <f>VLOOKUP(G11,全部!C:X,22,FALSE)</f>
        <v>216702.57</v>
      </c>
      <c r="P11" s="4">
        <f>VLOOKUP(G11,全部!C:Y,23,FALSE)</f>
        <v>216702.57</v>
      </c>
      <c r="Q11" s="6">
        <f>VLOOKUP(G11,全部!C:Z,24,FALSE)</f>
        <v>-4.1400000045541674E-3</v>
      </c>
      <c r="R11" s="7">
        <f>VLOOKUP(G11,全部!C:AA,25,FALSE)</f>
        <v>0</v>
      </c>
      <c r="S11" s="7">
        <f>VLOOKUP(G11,全部!C:AB,26,FALSE)</f>
        <v>0</v>
      </c>
      <c r="T11" s="4">
        <f>VLOOKUP(计算!G11,全部!C:AC,27,FALSE)</f>
        <v>2641685</v>
      </c>
      <c r="U11" s="4">
        <f>VLOOKUP(G11,全部!C:AD,28,FALSE)</f>
        <v>2641685</v>
      </c>
      <c r="V11" s="6">
        <f>VLOOKUP(G11,全部!C:AE,29,FALSE)</f>
        <v>0.80456458514034879</v>
      </c>
      <c r="W11" s="4">
        <f>VLOOKUP(G11,全部!C:AF,30,FALSE)</f>
        <v>0</v>
      </c>
      <c r="X11" s="4">
        <f>VLOOKUP(G11,全部!C:AG,31,FALSE)</f>
        <v>0</v>
      </c>
      <c r="Y11" s="4">
        <f>VLOOKUP(计算!G11,全部!C:AH,32,FALSE)</f>
        <v>0</v>
      </c>
      <c r="Z11" s="4">
        <f>VLOOKUP(G11,全部!C:AL,36,FALSE)</f>
        <v>2551867.71</v>
      </c>
      <c r="AA11" s="4">
        <f>VLOOKUP(G11,全部!C:AM,37,FALSE)</f>
        <v>3.4000000000000002E-2</v>
      </c>
      <c r="AB11" s="6">
        <f>VLOOKUP(G11,全部!C:AN,38,FALSE)</f>
        <v>111634.65514</v>
      </c>
      <c r="AC11" s="4">
        <f>VLOOKUP(G11,全部!C:AO,39,FALSE)</f>
        <v>89817.29</v>
      </c>
      <c r="AD11" s="4">
        <f>VLOOKUP(G11,全部!C:AP,40,FALSE)</f>
        <v>89817.29</v>
      </c>
      <c r="AE11" s="6">
        <f>VLOOKUP(G11,全部!C:AQ,41,FALSE)</f>
        <v>21817.365140000009</v>
      </c>
      <c r="AF11" s="4">
        <f>VLOOKUP(G11,全部!C:AR,42,FALSE)</f>
        <v>0</v>
      </c>
      <c r="AG11" s="7">
        <f>VLOOKUP(G11,全部!C:AS,43,FALSE)</f>
        <v>0</v>
      </c>
      <c r="AH11" s="64" t="str">
        <f>IF(VLOOKUP(G11,全部!C:AT,44,FALSE)=0,"",VLOOKUP(G11,全部!C:AT,44,FALSE))</f>
        <v/>
      </c>
      <c r="AI11">
        <v>0</v>
      </c>
      <c r="AJ11" s="3">
        <v>41912.6862384259</v>
      </c>
      <c r="AK11" s="2" t="s">
        <v>2296</v>
      </c>
    </row>
    <row r="12" spans="1:37" x14ac:dyDescent="0.15">
      <c r="A12" s="2" t="s">
        <v>2295</v>
      </c>
      <c r="B12">
        <v>341</v>
      </c>
      <c r="C12" s="3">
        <v>40683</v>
      </c>
      <c r="D12" s="2" t="s">
        <v>37</v>
      </c>
      <c r="E12" s="2" t="s">
        <v>2294</v>
      </c>
      <c r="F12" s="2" t="s">
        <v>38</v>
      </c>
      <c r="G12" s="2" t="s">
        <v>1683</v>
      </c>
      <c r="H12" s="2" t="s">
        <v>1682</v>
      </c>
      <c r="I12" s="4">
        <f>VLOOKUP(G12,全部!C:M,11,FALSE)</f>
        <v>0</v>
      </c>
      <c r="J12" s="4">
        <f t="shared" si="0"/>
        <v>0</v>
      </c>
      <c r="K12" s="4">
        <f>VLOOKUP(计算!G12,全部!C:N,12,FALSE)</f>
        <v>0</v>
      </c>
      <c r="L12" s="5">
        <f>VLOOKUP(G12,全部!C:P,14,FALSE)</f>
        <v>0</v>
      </c>
      <c r="M12" s="5">
        <f>VLOOKUP(G12,全部!C:V,20,FALSE)*100</f>
        <v>0</v>
      </c>
      <c r="N12" s="6">
        <f>VLOOKUP(G12,全部!C:W,21,FALSE)</f>
        <v>0</v>
      </c>
      <c r="O12" s="4">
        <f>VLOOKUP(G12,全部!C:X,22,FALSE)</f>
        <v>0</v>
      </c>
      <c r="P12" s="4">
        <f>VLOOKUP(G12,全部!C:Y,23,FALSE)</f>
        <v>0</v>
      </c>
      <c r="Q12" s="6">
        <f>VLOOKUP(G12,全部!C:Z,24,FALSE)</f>
        <v>0</v>
      </c>
      <c r="R12" s="7">
        <f>VLOOKUP(G12,全部!C:AA,25,FALSE)</f>
        <v>0</v>
      </c>
      <c r="S12" s="7">
        <f>VLOOKUP(G12,全部!C:AB,26,FALSE)</f>
        <v>0</v>
      </c>
      <c r="T12" s="4">
        <f>VLOOKUP(计算!G12,全部!C:AC,27,FALSE)</f>
        <v>0</v>
      </c>
      <c r="U12" s="4">
        <f>VLOOKUP(G12,全部!C:AD,28,FALSE)</f>
        <v>0</v>
      </c>
      <c r="V12" s="6">
        <f>VLOOKUP(G12,全部!C:AE,29,FALSE)</f>
        <v>0</v>
      </c>
      <c r="W12" s="4">
        <f>VLOOKUP(G12,全部!C:AF,30,FALSE)</f>
        <v>0</v>
      </c>
      <c r="X12" s="4">
        <f>VLOOKUP(G12,全部!C:AG,31,FALSE)</f>
        <v>0</v>
      </c>
      <c r="Y12" s="4">
        <f>VLOOKUP(计算!G12,全部!C:AH,32,FALSE)</f>
        <v>0</v>
      </c>
      <c r="Z12" s="4">
        <f>VLOOKUP(G12,全部!C:AL,36,FALSE)</f>
        <v>0</v>
      </c>
      <c r="AA12" s="4">
        <f>VLOOKUP(G12,全部!C:AM,37,FALSE)</f>
        <v>0</v>
      </c>
      <c r="AB12" s="6">
        <f>VLOOKUP(G12,全部!C:AN,38,FALSE)</f>
        <v>0</v>
      </c>
      <c r="AC12" s="4">
        <f>VLOOKUP(G12,全部!C:AO,39,FALSE)</f>
        <v>0</v>
      </c>
      <c r="AD12" s="4">
        <f>VLOOKUP(G12,全部!C:AP,40,FALSE)</f>
        <v>0</v>
      </c>
      <c r="AE12" s="6">
        <f>VLOOKUP(G12,全部!C:AQ,41,FALSE)</f>
        <v>0</v>
      </c>
      <c r="AF12" s="4">
        <f>VLOOKUP(G12,全部!C:AR,42,FALSE)</f>
        <v>0</v>
      </c>
      <c r="AG12" s="7">
        <f>VLOOKUP(G12,全部!C:AS,43,FALSE)</f>
        <v>0</v>
      </c>
      <c r="AH12" s="64" t="str">
        <f>IF(VLOOKUP(G12,全部!C:AT,44,FALSE)=0,"",VLOOKUP(G12,全部!C:AT,44,FALSE))</f>
        <v/>
      </c>
      <c r="AI12">
        <v>0</v>
      </c>
      <c r="AJ12" s="3">
        <v>41912.686249999999</v>
      </c>
      <c r="AK12" s="2" t="s">
        <v>2293</v>
      </c>
    </row>
    <row r="13" spans="1:37" x14ac:dyDescent="0.15">
      <c r="A13" s="2" t="s">
        <v>2292</v>
      </c>
      <c r="B13">
        <v>28</v>
      </c>
      <c r="C13" s="3">
        <v>40725</v>
      </c>
      <c r="D13" s="2" t="s">
        <v>37</v>
      </c>
      <c r="E13" s="2" t="s">
        <v>2291</v>
      </c>
      <c r="F13" s="2" t="s">
        <v>41</v>
      </c>
      <c r="G13" s="2" t="s">
        <v>63</v>
      </c>
      <c r="H13" s="2" t="s">
        <v>60</v>
      </c>
      <c r="I13" s="4">
        <f>VLOOKUP(G13,全部!C:M,11,FALSE)</f>
        <v>665109</v>
      </c>
      <c r="J13" s="4">
        <f t="shared" si="0"/>
        <v>0</v>
      </c>
      <c r="K13" s="4">
        <f>VLOOKUP(计算!G13,全部!C:N,12,FALSE)</f>
        <v>0</v>
      </c>
      <c r="L13" s="5">
        <f>VLOOKUP(G13,全部!C:P,14,FALSE)</f>
        <v>0</v>
      </c>
      <c r="M13" s="5">
        <f>VLOOKUP(G13,全部!C:V,20,FALSE)*100</f>
        <v>4</v>
      </c>
      <c r="N13" s="6">
        <f>VLOOKUP(G13,全部!C:W,21,FALSE)</f>
        <v>26604.36</v>
      </c>
      <c r="O13" s="4">
        <f>VLOOKUP(G13,全部!C:X,22,FALSE)</f>
        <v>0</v>
      </c>
      <c r="P13" s="4">
        <f>VLOOKUP(G13,全部!C:Y,23,FALSE)</f>
        <v>0</v>
      </c>
      <c r="Q13" s="6">
        <f>VLOOKUP(G13,全部!C:Z,24,FALSE)</f>
        <v>26604.36</v>
      </c>
      <c r="R13" s="7">
        <f>VLOOKUP(G13,全部!C:AA,25,FALSE)</f>
        <v>0</v>
      </c>
      <c r="S13" s="7">
        <f>VLOOKUP(G13,全部!C:AB,26,FALSE)</f>
        <v>0</v>
      </c>
      <c r="T13" s="4">
        <f>VLOOKUP(计算!G13,全部!C:AC,27,FALSE)</f>
        <v>0</v>
      </c>
      <c r="U13" s="4">
        <f>VLOOKUP(G13,全部!C:AD,28,FALSE)</f>
        <v>0</v>
      </c>
      <c r="V13" s="6">
        <f>VLOOKUP(G13,全部!C:AE,29,FALSE)</f>
        <v>0</v>
      </c>
      <c r="W13" s="4">
        <f>VLOOKUP(G13,全部!C:AF,30,FALSE)</f>
        <v>0</v>
      </c>
      <c r="X13" s="4">
        <f>VLOOKUP(G13,全部!C:AG,31,FALSE)</f>
        <v>0</v>
      </c>
      <c r="Y13" s="4">
        <f>VLOOKUP(计算!G13,全部!C:AH,32,FALSE)</f>
        <v>0</v>
      </c>
      <c r="Z13" s="4">
        <f>VLOOKUP(G13,全部!C:AL,36,FALSE)</f>
        <v>0</v>
      </c>
      <c r="AA13" s="4">
        <f>VLOOKUP(G13,全部!C:AM,37,FALSE)</f>
        <v>3.4000000000000002E-2</v>
      </c>
      <c r="AB13" s="6">
        <f>VLOOKUP(G13,全部!C:AN,38,FALSE)</f>
        <v>22613.706000000002</v>
      </c>
      <c r="AC13" s="4">
        <f>VLOOKUP(G13,全部!C:AO,39,FALSE)</f>
        <v>0</v>
      </c>
      <c r="AD13" s="4">
        <f>VLOOKUP(G13,全部!C:AP,40,FALSE)</f>
        <v>0</v>
      </c>
      <c r="AE13" s="6">
        <f>VLOOKUP(G13,全部!C:AQ,41,FALSE)</f>
        <v>22613.706000000002</v>
      </c>
      <c r="AF13" s="4">
        <f>VLOOKUP(G13,全部!C:AR,42,FALSE)</f>
        <v>0</v>
      </c>
      <c r="AG13" s="7">
        <f>VLOOKUP(G13,全部!C:AS,43,FALSE)</f>
        <v>0</v>
      </c>
      <c r="AH13" s="64" t="str">
        <f>IF(VLOOKUP(G13,全部!C:AT,44,FALSE)=0,"",VLOOKUP(G13,全部!C:AT,44,FALSE))</f>
        <v/>
      </c>
      <c r="AI13">
        <v>0</v>
      </c>
      <c r="AJ13" s="3">
        <v>41912.6862384259</v>
      </c>
      <c r="AK13" s="2" t="s">
        <v>2290</v>
      </c>
    </row>
    <row r="14" spans="1:37" x14ac:dyDescent="0.15">
      <c r="A14" s="2" t="s">
        <v>2289</v>
      </c>
      <c r="B14">
        <v>27</v>
      </c>
      <c r="C14" s="3">
        <v>40725</v>
      </c>
      <c r="D14" s="2" t="s">
        <v>37</v>
      </c>
      <c r="E14" s="2" t="s">
        <v>2288</v>
      </c>
      <c r="F14" s="2" t="s">
        <v>41</v>
      </c>
      <c r="G14" s="2" t="s">
        <v>61</v>
      </c>
      <c r="H14" s="2" t="s">
        <v>62</v>
      </c>
      <c r="I14" s="4">
        <f>VLOOKUP(G14,全部!C:M,11,FALSE)</f>
        <v>7212049</v>
      </c>
      <c r="J14" s="4">
        <f t="shared" si="0"/>
        <v>0</v>
      </c>
      <c r="K14" s="4">
        <f>VLOOKUP(计算!G14,全部!C:N,12,FALSE)</f>
        <v>0</v>
      </c>
      <c r="L14" s="5">
        <f>VLOOKUP(G14,全部!C:P,14,FALSE)</f>
        <v>0</v>
      </c>
      <c r="M14" s="5">
        <f>VLOOKUP(G14,全部!C:V,20,FALSE)*100</f>
        <v>6.6000000000000005</v>
      </c>
      <c r="N14" s="6">
        <f>VLOOKUP(G14,全部!C:W,21,FALSE)</f>
        <v>475995.234</v>
      </c>
      <c r="O14" s="4">
        <f>VLOOKUP(G14,全部!C:X,22,FALSE)</f>
        <v>475995.23</v>
      </c>
      <c r="P14" s="4">
        <f>VLOOKUP(G14,全部!C:Y,23,FALSE)</f>
        <v>475995.23</v>
      </c>
      <c r="Q14" s="6">
        <f>VLOOKUP(G14,全部!C:Z,24,FALSE)</f>
        <v>4.0000000153668225E-3</v>
      </c>
      <c r="R14" s="7">
        <f>VLOOKUP(G14,全部!C:AA,25,FALSE)</f>
        <v>0</v>
      </c>
      <c r="S14" s="7">
        <f>VLOOKUP(G14,全部!C:AB,26,FALSE)</f>
        <v>0</v>
      </c>
      <c r="T14" s="4">
        <f>VLOOKUP(计算!G14,全部!C:AC,27,FALSE)</f>
        <v>6569639.2000000002</v>
      </c>
      <c r="U14" s="4">
        <f>VLOOKUP(G14,全部!C:AD,28,FALSE)</f>
        <v>6569639.2000000002</v>
      </c>
      <c r="V14" s="6">
        <f>VLOOKUP(G14,全部!C:AE,29,FALSE)</f>
        <v>0.91092548040092358</v>
      </c>
      <c r="W14" s="4">
        <f>VLOOKUP(G14,全部!C:AF,30,FALSE)</f>
        <v>0</v>
      </c>
      <c r="X14" s="4">
        <f>VLOOKUP(G14,全部!C:AG,31,FALSE)</f>
        <v>0</v>
      </c>
      <c r="Y14" s="4">
        <f>VLOOKUP(计算!G14,全部!C:AH,32,FALSE)</f>
        <v>0</v>
      </c>
      <c r="Z14" s="4">
        <f>VLOOKUP(G14,全部!C:AL,36,FALSE)</f>
        <v>6277110.3499999996</v>
      </c>
      <c r="AA14" s="4">
        <f>VLOOKUP(G14,全部!C:AM,37,FALSE)</f>
        <v>3.4000000000000002E-2</v>
      </c>
      <c r="AB14" s="6">
        <f>VLOOKUP(G14,全部!C:AN,38,FALSE)</f>
        <v>245209.66600000003</v>
      </c>
      <c r="AC14" s="4">
        <f>VLOOKUP(G14,全部!C:AO,39,FALSE)</f>
        <v>223367.73</v>
      </c>
      <c r="AD14" s="4">
        <f>VLOOKUP(G14,全部!C:AP,40,FALSE)</f>
        <v>223367.73</v>
      </c>
      <c r="AE14" s="6">
        <f>VLOOKUP(G14,全部!C:AQ,41,FALSE)</f>
        <v>21841.936000000016</v>
      </c>
      <c r="AF14" s="4">
        <f>VLOOKUP(G14,全部!C:AR,42,FALSE)</f>
        <v>0</v>
      </c>
      <c r="AG14" s="7">
        <f>VLOOKUP(G14,全部!C:AS,43,FALSE)</f>
        <v>0</v>
      </c>
      <c r="AH14" s="64" t="str">
        <f>IF(VLOOKUP(G14,全部!C:AT,44,FALSE)=0,"",VLOOKUP(G14,全部!C:AT,44,FALSE))</f>
        <v/>
      </c>
      <c r="AI14">
        <v>0</v>
      </c>
      <c r="AJ14" s="3">
        <v>41912.6862384259</v>
      </c>
      <c r="AK14" s="2" t="s">
        <v>2287</v>
      </c>
    </row>
    <row r="15" spans="1:37" x14ac:dyDescent="0.15">
      <c r="A15" s="2" t="s">
        <v>2286</v>
      </c>
      <c r="B15">
        <v>350</v>
      </c>
      <c r="C15" s="3">
        <v>40828</v>
      </c>
      <c r="D15" s="2" t="s">
        <v>37</v>
      </c>
      <c r="E15" s="2" t="s">
        <v>2285</v>
      </c>
      <c r="F15" s="2" t="s">
        <v>38</v>
      </c>
      <c r="G15" s="2" t="s">
        <v>64</v>
      </c>
      <c r="H15" s="2" t="s">
        <v>65</v>
      </c>
      <c r="I15" s="4">
        <f>VLOOKUP(G15,全部!C:M,11,FALSE)</f>
        <v>21611588</v>
      </c>
      <c r="J15" s="4">
        <f t="shared" si="0"/>
        <v>2802330.83</v>
      </c>
      <c r="K15" s="4">
        <f>VLOOKUP(计算!G15,全部!C:N,12,FALSE)</f>
        <v>2802330.83</v>
      </c>
      <c r="L15" s="5">
        <f>VLOOKUP(G15,全部!C:P,14,FALSE)</f>
        <v>0</v>
      </c>
      <c r="M15" s="5">
        <f>VLOOKUP(G15,全部!C:V,20,FALSE)*100</f>
        <v>3</v>
      </c>
      <c r="N15" s="6">
        <f>VLOOKUP(G15,全部!C:W,21,FALSE)</f>
        <v>732417.56489999988</v>
      </c>
      <c r="O15" s="4">
        <f>VLOOKUP(G15,全部!C:X,22,FALSE)</f>
        <v>671920</v>
      </c>
      <c r="P15" s="4">
        <f>VLOOKUP(G15,全部!C:Y,23,FALSE)</f>
        <v>671920</v>
      </c>
      <c r="Q15" s="6">
        <f>VLOOKUP(G15,全部!C:Z,24,FALSE)</f>
        <v>60497.564899999881</v>
      </c>
      <c r="R15" s="7">
        <f>VLOOKUP(G15,全部!C:AA,25,FALSE)</f>
        <v>22758059.470000003</v>
      </c>
      <c r="S15" s="7">
        <f>VLOOKUP(G15,全部!C:AB,26,FALSE)</f>
        <v>22758059.469999999</v>
      </c>
      <c r="T15" s="4">
        <f>VLOOKUP(计算!G15,全部!C:AC,27,FALSE)</f>
        <v>22758059.470000003</v>
      </c>
      <c r="U15" s="4">
        <f>VLOOKUP(G15,全部!C:AD,28,FALSE)</f>
        <v>22758059.469999999</v>
      </c>
      <c r="V15" s="6">
        <f>VLOOKUP(G15,全部!C:AE,29,FALSE)</f>
        <v>0.93217560148658873</v>
      </c>
      <c r="W15" s="4">
        <f>VLOOKUP(G15,全部!C:AF,30,FALSE)</f>
        <v>20358173.619999997</v>
      </c>
      <c r="X15" s="4">
        <f>VLOOKUP(G15,全部!C:AG,31,FALSE)</f>
        <v>20358173.619999997</v>
      </c>
      <c r="Y15" s="4">
        <f>VLOOKUP(计算!G15,全部!C:AH,32,FALSE)</f>
        <v>21886603.420000002</v>
      </c>
      <c r="Z15" s="4">
        <f>VLOOKUP(G15,全部!C:AL,36,FALSE)</f>
        <v>21886603.419999998</v>
      </c>
      <c r="AA15" s="4">
        <f>VLOOKUP(G15,全部!C:AM,37,FALSE)</f>
        <v>3.4000000000000002E-2</v>
      </c>
      <c r="AB15" s="6">
        <f>VLOOKUP(G15,全部!C:AN,38,FALSE)</f>
        <v>773774.02197999996</v>
      </c>
      <c r="AC15" s="4">
        <f>VLOOKUP(G15,全部!C:AO,39,FALSE)</f>
        <v>773773</v>
      </c>
      <c r="AD15" s="4">
        <f>VLOOKUP(G15,全部!C:AP,40,FALSE)</f>
        <v>773773</v>
      </c>
      <c r="AE15" s="6">
        <f>VLOOKUP(G15,全部!C:AQ,41,FALSE)</f>
        <v>0</v>
      </c>
      <c r="AF15" s="4">
        <f>VLOOKUP(G15,全部!C:AR,42,FALSE)</f>
        <v>0</v>
      </c>
      <c r="AG15" s="7">
        <f>VLOOKUP(G15,全部!C:AS,43,FALSE)</f>
        <v>140</v>
      </c>
      <c r="AH15" s="64" t="str">
        <f>IF(VLOOKUP(G15,全部!C:AT,44,FALSE)=0,"",VLOOKUP(G15,全部!C:AT,44,FALSE))</f>
        <v>管庄</v>
      </c>
      <c r="AI15">
        <v>0</v>
      </c>
      <c r="AJ15" s="3">
        <v>41912.686249999999</v>
      </c>
      <c r="AK15" s="2" t="s">
        <v>2284</v>
      </c>
    </row>
    <row r="16" spans="1:37" x14ac:dyDescent="0.15">
      <c r="A16" s="2" t="s">
        <v>2283</v>
      </c>
      <c r="B16">
        <v>374</v>
      </c>
      <c r="C16" s="3">
        <v>40907</v>
      </c>
      <c r="D16" s="2" t="s">
        <v>37</v>
      </c>
      <c r="E16" s="2" t="s">
        <v>2282</v>
      </c>
      <c r="F16" s="2" t="s">
        <v>38</v>
      </c>
      <c r="G16" s="2" t="s">
        <v>67</v>
      </c>
      <c r="H16" s="2" t="s">
        <v>68</v>
      </c>
      <c r="I16" s="4">
        <f>VLOOKUP(G16,全部!C:M,11,FALSE)</f>
        <v>3405024</v>
      </c>
      <c r="J16" s="4">
        <f t="shared" si="0"/>
        <v>0</v>
      </c>
      <c r="K16" s="4">
        <f>VLOOKUP(计算!G16,全部!C:N,12,FALSE)</f>
        <v>0</v>
      </c>
      <c r="L16" s="5">
        <f>VLOOKUP(G16,全部!C:P,14,FALSE)</f>
        <v>0</v>
      </c>
      <c r="M16" s="5">
        <f>VLOOKUP(G16,全部!C:V,20,FALSE)*100</f>
        <v>3.5999999999999996</v>
      </c>
      <c r="N16" s="6">
        <f>VLOOKUP(G16,全部!C:W,21,FALSE)</f>
        <v>122580.86399999999</v>
      </c>
      <c r="O16" s="4">
        <f>VLOOKUP(G16,全部!C:X,22,FALSE)</f>
        <v>122581</v>
      </c>
      <c r="P16" s="4">
        <f>VLOOKUP(G16,全部!C:Y,23,FALSE)</f>
        <v>122581</v>
      </c>
      <c r="Q16" s="6">
        <f>VLOOKUP(G16,全部!C:Z,24,FALSE)</f>
        <v>0</v>
      </c>
      <c r="R16" s="7">
        <f>VLOOKUP(G16,全部!C:AA,25,FALSE)</f>
        <v>3111296</v>
      </c>
      <c r="S16" s="7">
        <f>VLOOKUP(G16,全部!C:AB,26,FALSE)</f>
        <v>3111296</v>
      </c>
      <c r="T16" s="4">
        <f>VLOOKUP(计算!G16,全部!C:AC,27,FALSE)</f>
        <v>3111296</v>
      </c>
      <c r="U16" s="4">
        <f>VLOOKUP(G16,全部!C:AD,28,FALSE)</f>
        <v>3111296</v>
      </c>
      <c r="V16" s="6">
        <f>VLOOKUP(G16,全部!C:AE,29,FALSE)</f>
        <v>0.91373687821289951</v>
      </c>
      <c r="W16" s="4">
        <f>VLOOKUP(G16,全部!C:AF,30,FALSE)</f>
        <v>2496087.77</v>
      </c>
      <c r="X16" s="4">
        <f>VLOOKUP(G16,全部!C:AG,31,FALSE)</f>
        <v>2496087.77</v>
      </c>
      <c r="Y16" s="4">
        <f>VLOOKUP(计算!G16,全部!C:AH,32,FALSE)</f>
        <v>3049860.32</v>
      </c>
      <c r="Z16" s="4">
        <f>VLOOKUP(G16,全部!C:AL,36,FALSE)</f>
        <v>3049860.32</v>
      </c>
      <c r="AA16" s="4">
        <f>VLOOKUP(G16,全部!C:AM,37,FALSE)</f>
        <v>3.4000000000000002E-2</v>
      </c>
      <c r="AB16" s="6">
        <f>VLOOKUP(G16,全部!C:AN,38,FALSE)</f>
        <v>105784.06400000001</v>
      </c>
      <c r="AC16" s="4">
        <f>VLOOKUP(G16,全部!C:AO,39,FALSE)</f>
        <v>105784</v>
      </c>
      <c r="AD16" s="4">
        <f>VLOOKUP(G16,全部!C:AP,40,FALSE)</f>
        <v>105784</v>
      </c>
      <c r="AE16" s="6">
        <f>VLOOKUP(G16,全部!C:AQ,41,FALSE)</f>
        <v>0</v>
      </c>
      <c r="AF16" s="4">
        <f>VLOOKUP(G16,全部!C:AR,42,FALSE)</f>
        <v>0</v>
      </c>
      <c r="AG16" s="7">
        <f>VLOOKUP(G16,全部!C:AS,43,FALSE)</f>
        <v>36</v>
      </c>
      <c r="AH16" s="64" t="str">
        <f>IF(VLOOKUP(G16,全部!C:AT,44,FALSE)=0,"",VLOOKUP(G16,全部!C:AT,44,FALSE))</f>
        <v>正和平</v>
      </c>
      <c r="AI16">
        <v>0</v>
      </c>
      <c r="AJ16" s="3">
        <v>41912.686249999999</v>
      </c>
      <c r="AK16" s="2" t="s">
        <v>2281</v>
      </c>
    </row>
    <row r="17" spans="1:37" x14ac:dyDescent="0.15">
      <c r="A17" s="2" t="s">
        <v>2280</v>
      </c>
      <c r="B17">
        <v>366</v>
      </c>
      <c r="C17" s="3">
        <v>40909</v>
      </c>
      <c r="D17" s="2" t="s">
        <v>37</v>
      </c>
      <c r="E17" s="2" t="s">
        <v>2279</v>
      </c>
      <c r="F17" s="2" t="s">
        <v>38</v>
      </c>
      <c r="G17" s="2" t="s">
        <v>70</v>
      </c>
      <c r="H17" s="2" t="s">
        <v>71</v>
      </c>
      <c r="I17" s="4">
        <f>VLOOKUP(G17,全部!C:M,11,FALSE)</f>
        <v>3098310</v>
      </c>
      <c r="J17" s="4">
        <f t="shared" si="0"/>
        <v>0</v>
      </c>
      <c r="K17" s="4">
        <f>VLOOKUP(计算!G17,全部!C:N,12,FALSE)</f>
        <v>0</v>
      </c>
      <c r="L17" s="5">
        <f>VLOOKUP(G17,全部!C:P,14,FALSE)</f>
        <v>0</v>
      </c>
      <c r="M17" s="5">
        <f>VLOOKUP(G17,全部!C:V,20,FALSE)*100</f>
        <v>3.5999999999999996</v>
      </c>
      <c r="N17" s="6">
        <f>VLOOKUP(G17,全部!C:W,21,FALSE)</f>
        <v>111539.15999999999</v>
      </c>
      <c r="O17" s="4">
        <f>VLOOKUP(G17,全部!C:X,22,FALSE)</f>
        <v>111539</v>
      </c>
      <c r="P17" s="4">
        <f>VLOOKUP(G17,全部!C:Y,23,FALSE)</f>
        <v>111539</v>
      </c>
      <c r="Q17" s="6">
        <f>VLOOKUP(G17,全部!C:Z,24,FALSE)</f>
        <v>0</v>
      </c>
      <c r="R17" s="7">
        <f>VLOOKUP(G17,全部!C:AA,25,FALSE)</f>
        <v>2463563</v>
      </c>
      <c r="S17" s="7">
        <f>VLOOKUP(G17,全部!C:AB,26,FALSE)</f>
        <v>2463563</v>
      </c>
      <c r="T17" s="4">
        <f>VLOOKUP(计算!G17,全部!C:AC,27,FALSE)</f>
        <v>2463563</v>
      </c>
      <c r="U17" s="4">
        <f>VLOOKUP(G17,全部!C:AD,28,FALSE)</f>
        <v>2463563</v>
      </c>
      <c r="V17" s="6">
        <f>VLOOKUP(G17,全部!C:AE,29,FALSE)</f>
        <v>0.79513121669555342</v>
      </c>
      <c r="W17" s="4">
        <f>VLOOKUP(G17,全部!C:AF,30,FALSE)</f>
        <v>2225711.98</v>
      </c>
      <c r="X17" s="4">
        <f>VLOOKUP(G17,全部!C:AG,31,FALSE)</f>
        <v>2225711.98</v>
      </c>
      <c r="Y17" s="4">
        <f>VLOOKUP(计算!G17,全部!C:AH,32,FALSE)</f>
        <v>2424472.98</v>
      </c>
      <c r="Z17" s="4">
        <f>VLOOKUP(G17,全部!C:AL,36,FALSE)</f>
        <v>2424472.98</v>
      </c>
      <c r="AA17" s="4">
        <f>VLOOKUP(G17,全部!C:AM,37,FALSE)</f>
        <v>3.4000000000000002E-2</v>
      </c>
      <c r="AB17" s="6">
        <f>VLOOKUP(G17,全部!C:AN,38,FALSE)</f>
        <v>83761.142000000007</v>
      </c>
      <c r="AC17" s="4">
        <f>VLOOKUP(G17,全部!C:AO,39,FALSE)</f>
        <v>83761</v>
      </c>
      <c r="AD17" s="4">
        <f>VLOOKUP(G17,全部!C:AP,40,FALSE)</f>
        <v>83761</v>
      </c>
      <c r="AE17" s="6">
        <f>VLOOKUP(G17,全部!C:AQ,41,FALSE)</f>
        <v>0</v>
      </c>
      <c r="AF17" s="4">
        <f>VLOOKUP(G17,全部!C:AR,42,FALSE)</f>
        <v>0</v>
      </c>
      <c r="AG17" s="7">
        <f>VLOOKUP(G17,全部!C:AS,43,FALSE)</f>
        <v>0</v>
      </c>
      <c r="AH17" s="64" t="str">
        <f>IF(VLOOKUP(G17,全部!C:AT,44,FALSE)=0,"",VLOOKUP(G17,全部!C:AT,44,FALSE))</f>
        <v/>
      </c>
      <c r="AI17">
        <v>0</v>
      </c>
      <c r="AJ17" s="3">
        <v>41912.686249999999</v>
      </c>
      <c r="AK17" s="2" t="s">
        <v>2278</v>
      </c>
    </row>
    <row r="18" spans="1:37" x14ac:dyDescent="0.15">
      <c r="A18" s="2" t="s">
        <v>2277</v>
      </c>
      <c r="B18">
        <v>33</v>
      </c>
      <c r="C18" s="3">
        <v>40909</v>
      </c>
      <c r="D18" s="2" t="s">
        <v>37</v>
      </c>
      <c r="E18" s="2" t="s">
        <v>2276</v>
      </c>
      <c r="F18" s="2" t="s">
        <v>41</v>
      </c>
      <c r="G18" s="2" t="s">
        <v>76</v>
      </c>
      <c r="H18" s="2" t="s">
        <v>77</v>
      </c>
      <c r="I18" s="4">
        <f>VLOOKUP(G18,全部!C:M,11,FALSE)</f>
        <v>10343049.93</v>
      </c>
      <c r="J18" s="4">
        <f t="shared" si="0"/>
        <v>0</v>
      </c>
      <c r="K18" s="4">
        <f>VLOOKUP(计算!G18,全部!C:N,12,FALSE)</f>
        <v>0</v>
      </c>
      <c r="L18" s="5">
        <f>VLOOKUP(G18,全部!C:P,14,FALSE)</f>
        <v>0</v>
      </c>
      <c r="M18" s="5">
        <f>VLOOKUP(G18,全部!C:V,20,FALSE)*100</f>
        <v>3.5000000000000004</v>
      </c>
      <c r="N18" s="6">
        <f>VLOOKUP(G18,全部!C:W,21,FALSE)</f>
        <v>362006.74755000003</v>
      </c>
      <c r="O18" s="4">
        <f>VLOOKUP(G18,全部!C:X,22,FALSE)</f>
        <v>362006.75</v>
      </c>
      <c r="P18" s="4">
        <f>VLOOKUP(G18,全部!C:Y,23,FALSE)</f>
        <v>362006.75</v>
      </c>
      <c r="Q18" s="6">
        <f>VLOOKUP(G18,全部!C:Z,24,FALSE)</f>
        <v>-2.4499999708496034E-3</v>
      </c>
      <c r="R18" s="7">
        <f>VLOOKUP(G18,全部!C:AA,25,FALSE)</f>
        <v>0</v>
      </c>
      <c r="S18" s="7">
        <f>VLOOKUP(G18,全部!C:AB,26,FALSE)</f>
        <v>0</v>
      </c>
      <c r="T18" s="4">
        <f>VLOOKUP(计算!G18,全部!C:AC,27,FALSE)</f>
        <v>7860688.0099999998</v>
      </c>
      <c r="U18" s="4">
        <f>VLOOKUP(G18,全部!C:AD,28,FALSE)</f>
        <v>7860688.0099999998</v>
      </c>
      <c r="V18" s="6">
        <f>VLOOKUP(G18,全部!C:AE,29,FALSE)</f>
        <v>0.75999710561196143</v>
      </c>
      <c r="W18" s="4">
        <f>VLOOKUP(G18,全部!C:AF,30,FALSE)</f>
        <v>0</v>
      </c>
      <c r="X18" s="4">
        <f>VLOOKUP(G18,全部!C:AG,31,FALSE)</f>
        <v>0</v>
      </c>
      <c r="Y18" s="4">
        <f>VLOOKUP(计算!G18,全部!C:AH,32,FALSE)</f>
        <v>7748729.1299999999</v>
      </c>
      <c r="Z18" s="4">
        <f>VLOOKUP(G18,全部!C:AL,36,FALSE)</f>
        <v>7748729.1299999999</v>
      </c>
      <c r="AA18" s="4">
        <f>VLOOKUP(G18,全部!C:AM,37,FALSE)</f>
        <v>3.4000000000000002E-2</v>
      </c>
      <c r="AB18" s="6">
        <f>VLOOKUP(G18,全部!C:AN,38,FALSE)</f>
        <v>351663.69761999999</v>
      </c>
      <c r="AC18" s="4">
        <f>VLOOKUP(G18,全部!C:AO,39,FALSE)</f>
        <v>111118.8</v>
      </c>
      <c r="AD18" s="4">
        <f>VLOOKUP(G18,全部!C:AP,40,FALSE)</f>
        <v>111118.8</v>
      </c>
      <c r="AE18" s="6">
        <f>VLOOKUP(G18,全部!C:AQ,41,FALSE)</f>
        <v>240544.89762</v>
      </c>
      <c r="AF18" s="4">
        <f>VLOOKUP(G18,全部!C:AR,42,FALSE)</f>
        <v>0</v>
      </c>
      <c r="AG18" s="7">
        <f>VLOOKUP(G18,全部!C:AS,43,FALSE)</f>
        <v>0</v>
      </c>
      <c r="AH18" s="64" t="str">
        <f>IF(VLOOKUP(G18,全部!C:AT,44,FALSE)=0,"",VLOOKUP(G18,全部!C:AT,44,FALSE))</f>
        <v/>
      </c>
      <c r="AI18">
        <v>0</v>
      </c>
      <c r="AJ18" s="3">
        <v>41912.6862384259</v>
      </c>
      <c r="AK18" s="2" t="s">
        <v>2275</v>
      </c>
    </row>
    <row r="19" spans="1:37" x14ac:dyDescent="0.15">
      <c r="A19" s="2" t="s">
        <v>2274</v>
      </c>
      <c r="B19">
        <v>385</v>
      </c>
      <c r="C19" s="3">
        <v>40909</v>
      </c>
      <c r="D19" s="2" t="s">
        <v>37</v>
      </c>
      <c r="E19" s="2" t="s">
        <v>2273</v>
      </c>
      <c r="F19" s="2" t="s">
        <v>38</v>
      </c>
      <c r="G19" s="2" t="s">
        <v>74</v>
      </c>
      <c r="H19" s="2" t="s">
        <v>75</v>
      </c>
      <c r="I19" s="4">
        <f>VLOOKUP(G19,全部!C:M,11,FALSE)</f>
        <v>9708632.2599999998</v>
      </c>
      <c r="J19" s="4">
        <f t="shared" si="0"/>
        <v>2846340</v>
      </c>
      <c r="K19" s="4">
        <f>VLOOKUP(计算!G19,全部!C:N,12,FALSE)</f>
        <v>2846340</v>
      </c>
      <c r="L19" s="5">
        <f>VLOOKUP(G19,全部!C:P,14,FALSE)</f>
        <v>0</v>
      </c>
      <c r="M19" s="5">
        <f>VLOOKUP(G19,全部!C:V,20,FALSE)*100</f>
        <v>3</v>
      </c>
      <c r="N19" s="6">
        <f>VLOOKUP(G19,全部!C:W,21,FALSE)</f>
        <v>376649.1678</v>
      </c>
      <c r="O19" s="4">
        <f>VLOOKUP(G19,全部!C:X,22,FALSE)</f>
        <v>362780</v>
      </c>
      <c r="P19" s="4">
        <f>VLOOKUP(G19,全部!C:Y,23,FALSE)</f>
        <v>362780</v>
      </c>
      <c r="Q19" s="6">
        <f>VLOOKUP(G19,全部!C:Z,24,FALSE)</f>
        <v>13869.167799999996</v>
      </c>
      <c r="R19" s="7">
        <f>VLOOKUP(G19,全部!C:AA,25,FALSE)</f>
        <v>12554972.26</v>
      </c>
      <c r="S19" s="7">
        <f>VLOOKUP(G19,全部!C:AB,26,FALSE)</f>
        <v>12554972.26</v>
      </c>
      <c r="T19" s="4">
        <f>VLOOKUP(计算!G19,全部!C:AC,27,FALSE)</f>
        <v>11825835.490000002</v>
      </c>
      <c r="U19" s="4">
        <f>VLOOKUP(G19,全部!C:AD,28,FALSE)</f>
        <v>11825835.49</v>
      </c>
      <c r="V19" s="6">
        <f>VLOOKUP(G19,全部!C:AE,29,FALSE)</f>
        <v>0.9419244618864655</v>
      </c>
      <c r="W19" s="4">
        <f>VLOOKUP(G19,全部!C:AF,30,FALSE)</f>
        <v>10650362.279999999</v>
      </c>
      <c r="X19" s="4">
        <f>VLOOKUP(G19,全部!C:AG,31,FALSE)</f>
        <v>10650362.279999999</v>
      </c>
      <c r="Y19" s="4">
        <f>VLOOKUP(计算!G19,全部!C:AH,32,FALSE)</f>
        <v>11370776.639999999</v>
      </c>
      <c r="Z19" s="4">
        <f>VLOOKUP(G19,全部!C:AL,36,FALSE)</f>
        <v>11388881.640000001</v>
      </c>
      <c r="AA19" s="4">
        <f>VLOOKUP(G19,全部!C:AM,37,FALSE)</f>
        <v>3.4000000000000002E-2</v>
      </c>
      <c r="AB19" s="6">
        <f>VLOOKUP(G19,全部!C:AN,38,FALSE)</f>
        <v>426869.05684000003</v>
      </c>
      <c r="AC19" s="4">
        <f>VLOOKUP(G19,全部!C:AO,39,FALSE)</f>
        <v>426869</v>
      </c>
      <c r="AD19" s="4">
        <f>VLOOKUP(G19,全部!C:AP,40,FALSE)</f>
        <v>426869</v>
      </c>
      <c r="AE19" s="6">
        <f>VLOOKUP(G19,全部!C:AQ,41,FALSE)</f>
        <v>0</v>
      </c>
      <c r="AF19" s="4">
        <f>VLOOKUP(G19,全部!C:AR,42,FALSE)</f>
        <v>0</v>
      </c>
      <c r="AG19" s="7">
        <f>VLOOKUP(G19,全部!C:AS,43,FALSE)</f>
        <v>80</v>
      </c>
      <c r="AH19" s="64" t="str">
        <f>IF(VLOOKUP(G19,全部!C:AT,44,FALSE)=0,"",VLOOKUP(G19,全部!C:AT,44,FALSE))</f>
        <v>亦庄</v>
      </c>
      <c r="AI19">
        <v>0</v>
      </c>
      <c r="AJ19" s="3">
        <v>41912.686249999999</v>
      </c>
      <c r="AK19" s="2" t="s">
        <v>2272</v>
      </c>
    </row>
    <row r="20" spans="1:37" x14ac:dyDescent="0.15">
      <c r="A20" s="2" t="s">
        <v>2271</v>
      </c>
      <c r="B20">
        <v>359</v>
      </c>
      <c r="C20" s="3">
        <v>40909</v>
      </c>
      <c r="D20" s="2" t="s">
        <v>37</v>
      </c>
      <c r="E20" s="2" t="s">
        <v>2270</v>
      </c>
      <c r="F20" s="2" t="s">
        <v>38</v>
      </c>
      <c r="G20" s="2" t="s">
        <v>72</v>
      </c>
      <c r="H20" s="2" t="s">
        <v>73</v>
      </c>
      <c r="I20" s="4">
        <f>VLOOKUP(G20,全部!C:M,11,FALSE)</f>
        <v>1950000</v>
      </c>
      <c r="J20" s="4">
        <f t="shared" si="0"/>
        <v>6281535</v>
      </c>
      <c r="K20" s="4">
        <f>VLOOKUP(计算!G20,全部!C:N,12,FALSE)</f>
        <v>6281535</v>
      </c>
      <c r="L20" s="5">
        <f>VLOOKUP(G20,全部!C:P,14,FALSE)</f>
        <v>0</v>
      </c>
      <c r="M20" s="5">
        <f>VLOOKUP(G20,全部!C:V,20,FALSE)*100</f>
        <v>3</v>
      </c>
      <c r="N20" s="6">
        <f>VLOOKUP(G20,全部!C:W,21,FALSE)</f>
        <v>246946.05</v>
      </c>
      <c r="O20" s="4">
        <f>VLOOKUP(G20,全部!C:X,22,FALSE)</f>
        <v>229500</v>
      </c>
      <c r="P20" s="4">
        <f>VLOOKUP(G20,全部!C:Y,23,FALSE)</f>
        <v>229500</v>
      </c>
      <c r="Q20" s="6">
        <f>VLOOKUP(G20,全部!C:Z,24,FALSE)</f>
        <v>17446.049999999988</v>
      </c>
      <c r="R20" s="7">
        <f>VLOOKUP(G20,全部!C:AA,25,FALSE)</f>
        <v>8231535</v>
      </c>
      <c r="S20" s="7">
        <f>VLOOKUP(G20,全部!C:AB,26,FALSE)</f>
        <v>8231535</v>
      </c>
      <c r="T20" s="4">
        <f>VLOOKUP(计算!G20,全部!C:AC,27,FALSE)</f>
        <v>8231535</v>
      </c>
      <c r="U20" s="4">
        <f>VLOOKUP(G20,全部!C:AD,28,FALSE)</f>
        <v>8231535</v>
      </c>
      <c r="V20" s="6">
        <f>VLOOKUP(G20,全部!C:AE,29,FALSE)</f>
        <v>1</v>
      </c>
      <c r="W20" s="4">
        <f>VLOOKUP(G20,全部!C:AF,30,FALSE)</f>
        <v>7143200</v>
      </c>
      <c r="X20" s="4">
        <f>VLOOKUP(G20,全部!C:AG,31,FALSE)</f>
        <v>7143200</v>
      </c>
      <c r="Y20" s="4">
        <f>VLOOKUP(计算!G20,全部!C:AH,32,FALSE)</f>
        <v>8223072</v>
      </c>
      <c r="Z20" s="4">
        <f>VLOOKUP(G20,全部!C:AL,36,FALSE)</f>
        <v>8223072</v>
      </c>
      <c r="AA20" s="4">
        <f>VLOOKUP(G20,全部!C:AM,37,FALSE)</f>
        <v>3.4000000000000002E-2</v>
      </c>
      <c r="AB20" s="6">
        <f>VLOOKUP(G20,全部!C:AN,38,FALSE)</f>
        <v>279872.19</v>
      </c>
      <c r="AC20" s="4">
        <f>VLOOKUP(G20,全部!C:AO,39,FALSE)</f>
        <v>279872</v>
      </c>
      <c r="AD20" s="4">
        <f>VLOOKUP(G20,全部!C:AP,40,FALSE)</f>
        <v>279872</v>
      </c>
      <c r="AE20" s="6">
        <f>VLOOKUP(G20,全部!C:AQ,41,FALSE)</f>
        <v>0</v>
      </c>
      <c r="AF20" s="4">
        <f>VLOOKUP(G20,全部!C:AR,42,FALSE)</f>
        <v>0</v>
      </c>
      <c r="AG20" s="7">
        <f>VLOOKUP(G20,全部!C:AS,43,FALSE)</f>
        <v>5</v>
      </c>
      <c r="AH20" s="64" t="str">
        <f>IF(VLOOKUP(G20,全部!C:AT,44,FALSE)=0,"",VLOOKUP(G20,全部!C:AT,44,FALSE))</f>
        <v>亦庄</v>
      </c>
      <c r="AI20">
        <v>0</v>
      </c>
      <c r="AJ20" s="3">
        <v>41912.686249999999</v>
      </c>
      <c r="AK20" s="2" t="s">
        <v>2269</v>
      </c>
    </row>
    <row r="21" spans="1:37" x14ac:dyDescent="0.15">
      <c r="A21" s="2" t="s">
        <v>2268</v>
      </c>
      <c r="B21">
        <v>395</v>
      </c>
      <c r="C21" s="3">
        <v>40940</v>
      </c>
      <c r="D21" s="2" t="s">
        <v>37</v>
      </c>
      <c r="E21" s="2" t="s">
        <v>2267</v>
      </c>
      <c r="F21" s="2" t="s">
        <v>38</v>
      </c>
      <c r="G21" s="2" t="s">
        <v>78</v>
      </c>
      <c r="H21" s="2" t="s">
        <v>79</v>
      </c>
      <c r="I21" s="4">
        <f>VLOOKUP(G21,全部!C:M,11,FALSE)</f>
        <v>14568703.880000001</v>
      </c>
      <c r="J21" s="4">
        <f t="shared" si="0"/>
        <v>651269</v>
      </c>
      <c r="K21" s="4">
        <f>VLOOKUP(计算!G21,全部!C:N,12,FALSE)</f>
        <v>651269</v>
      </c>
      <c r="L21" s="5">
        <f>VLOOKUP(G21,全部!C:P,14,FALSE)</f>
        <v>0</v>
      </c>
      <c r="M21" s="5">
        <f>VLOOKUP(G21,全部!C:V,20,FALSE)*100</f>
        <v>3</v>
      </c>
      <c r="N21" s="6">
        <f>VLOOKUP(G21,全部!C:W,21,FALSE)</f>
        <v>456599.18640000001</v>
      </c>
      <c r="O21" s="4">
        <f>VLOOKUP(G21,全部!C:X,22,FALSE)</f>
        <v>437061</v>
      </c>
      <c r="P21" s="4">
        <f>VLOOKUP(G21,全部!C:Y,23,FALSE)</f>
        <v>437061</v>
      </c>
      <c r="Q21" s="6">
        <f>VLOOKUP(G21,全部!C:Z,24,FALSE)</f>
        <v>19538.186400000006</v>
      </c>
      <c r="R21" s="7">
        <f>VLOOKUP(G21,全部!C:AA,25,FALSE)</f>
        <v>11975108</v>
      </c>
      <c r="S21" s="7">
        <f>VLOOKUP(G21,全部!C:AB,26,FALSE)</f>
        <v>11975108</v>
      </c>
      <c r="T21" s="4">
        <f>VLOOKUP(计算!G21,全部!C:AC,27,FALSE)</f>
        <v>11054072</v>
      </c>
      <c r="U21" s="4">
        <f>VLOOKUP(G21,全部!C:AD,28,FALSE)</f>
        <v>11054072</v>
      </c>
      <c r="V21" s="6">
        <f>VLOOKUP(G21,全部!C:AE,29,FALSE)</f>
        <v>0.72628723369972259</v>
      </c>
      <c r="W21" s="4">
        <f>VLOOKUP(G21,全部!C:AF,30,FALSE)</f>
        <v>10047825.75</v>
      </c>
      <c r="X21" s="4">
        <f>VLOOKUP(G21,全部!C:AG,31,FALSE)</f>
        <v>10047825.75</v>
      </c>
      <c r="Y21" s="4">
        <f>VLOOKUP(计算!G21,全部!C:AH,32,FALSE)</f>
        <v>10954969.75</v>
      </c>
      <c r="Z21" s="4">
        <f>VLOOKUP(G21,全部!C:AL,36,FALSE)</f>
        <v>10958979.75</v>
      </c>
      <c r="AA21" s="4">
        <f>VLOOKUP(G21,全部!C:AM,37,FALSE)</f>
        <v>3.4000000000000002E-2</v>
      </c>
      <c r="AB21" s="6">
        <f>VLOOKUP(G21,全部!C:AN,38,FALSE)</f>
        <v>407153.67200000002</v>
      </c>
      <c r="AC21" s="4">
        <f>VLOOKUP(G21,全部!C:AO,39,FALSE)</f>
        <v>407154</v>
      </c>
      <c r="AD21" s="4">
        <f>VLOOKUP(G21,全部!C:AP,40,FALSE)</f>
        <v>407154</v>
      </c>
      <c r="AE21" s="6">
        <f>VLOOKUP(G21,全部!C:AQ,41,FALSE)</f>
        <v>0</v>
      </c>
      <c r="AF21" s="4">
        <f>VLOOKUP(G21,全部!C:AR,42,FALSE)</f>
        <v>0</v>
      </c>
      <c r="AG21" s="7">
        <f>VLOOKUP(G21,全部!C:AS,43,FALSE)</f>
        <v>220</v>
      </c>
      <c r="AH21" s="64" t="str">
        <f>IF(VLOOKUP(G21,全部!C:AT,44,FALSE)=0,"",VLOOKUP(G21,全部!C:AT,44,FALSE))</f>
        <v>管庄、昌平</v>
      </c>
      <c r="AI21">
        <v>0</v>
      </c>
      <c r="AJ21" s="3">
        <v>41912.686249999999</v>
      </c>
      <c r="AK21" s="2" t="s">
        <v>2266</v>
      </c>
    </row>
    <row r="22" spans="1:37" x14ac:dyDescent="0.15">
      <c r="A22" s="2" t="s">
        <v>2265</v>
      </c>
      <c r="B22">
        <v>419</v>
      </c>
      <c r="C22" s="3">
        <v>40940</v>
      </c>
      <c r="D22" s="2" t="s">
        <v>37</v>
      </c>
      <c r="E22" s="2" t="s">
        <v>2264</v>
      </c>
      <c r="F22" s="2" t="s">
        <v>38</v>
      </c>
      <c r="G22" s="2" t="s">
        <v>81</v>
      </c>
      <c r="H22" s="2" t="s">
        <v>82</v>
      </c>
      <c r="I22" s="4">
        <f>VLOOKUP(G22,全部!C:M,11,FALSE)</f>
        <v>20000000</v>
      </c>
      <c r="J22" s="4">
        <f t="shared" si="0"/>
        <v>0</v>
      </c>
      <c r="K22" s="4">
        <f>VLOOKUP(计算!G22,全部!C:N,12,FALSE)</f>
        <v>0</v>
      </c>
      <c r="L22" s="5">
        <f>VLOOKUP(G22,全部!C:P,14,FALSE)</f>
        <v>0</v>
      </c>
      <c r="M22" s="5">
        <f>VLOOKUP(G22,全部!C:V,20,FALSE)*100</f>
        <v>3.5000000000000004</v>
      </c>
      <c r="N22" s="6">
        <f>VLOOKUP(G22,全部!C:W,21,FALSE)</f>
        <v>700000.00000000012</v>
      </c>
      <c r="O22" s="4">
        <f>VLOOKUP(G22,全部!C:X,22,FALSE)</f>
        <v>700000</v>
      </c>
      <c r="P22" s="4">
        <f>VLOOKUP(G22,全部!C:Y,23,FALSE)</f>
        <v>700000</v>
      </c>
      <c r="Q22" s="6">
        <f>VLOOKUP(G22,全部!C:Z,24,FALSE)</f>
        <v>0</v>
      </c>
      <c r="R22" s="7">
        <f>VLOOKUP(G22,全部!C:AA,25,FALSE)</f>
        <v>18500000</v>
      </c>
      <c r="S22" s="7">
        <f>VLOOKUP(G22,全部!C:AB,26,FALSE)</f>
        <v>18500000</v>
      </c>
      <c r="T22" s="4">
        <f>VLOOKUP(计算!G22,全部!C:AC,27,FALSE)</f>
        <v>17500000</v>
      </c>
      <c r="U22" s="4">
        <f>VLOOKUP(G22,全部!C:AD,28,FALSE)</f>
        <v>17500000</v>
      </c>
      <c r="V22" s="6">
        <f>VLOOKUP(G22,全部!C:AE,29,FALSE)</f>
        <v>0.875</v>
      </c>
      <c r="W22" s="4">
        <f>VLOOKUP(G22,全部!C:AF,30,FALSE)</f>
        <v>16533332.5</v>
      </c>
      <c r="X22" s="4">
        <f>VLOOKUP(G22,全部!C:AG,31,FALSE)</f>
        <v>16533332.5</v>
      </c>
      <c r="Y22" s="4">
        <f>VLOOKUP(计算!G22,全部!C:AH,32,FALSE)</f>
        <v>17304686.41</v>
      </c>
      <c r="Z22" s="4">
        <f>VLOOKUP(G22,全部!C:AL,36,FALSE)</f>
        <v>17306886.41</v>
      </c>
      <c r="AA22" s="4">
        <f>VLOOKUP(G22,全部!C:AM,37,FALSE)</f>
        <v>3.4000000000000002E-2</v>
      </c>
      <c r="AB22" s="6">
        <f>VLOOKUP(G22,全部!C:AN,38,FALSE)</f>
        <v>629000</v>
      </c>
      <c r="AC22" s="4">
        <f>VLOOKUP(G22,全部!C:AO,39,FALSE)</f>
        <v>629000</v>
      </c>
      <c r="AD22" s="4">
        <f>VLOOKUP(G22,全部!C:AP,40,FALSE)</f>
        <v>629000</v>
      </c>
      <c r="AE22" s="6">
        <f>VLOOKUP(G22,全部!C:AQ,41,FALSE)</f>
        <v>0</v>
      </c>
      <c r="AF22" s="4">
        <f>VLOOKUP(G22,全部!C:AR,42,FALSE)</f>
        <v>0</v>
      </c>
      <c r="AG22" s="7">
        <f>VLOOKUP(G22,全部!C:AS,43,FALSE)</f>
        <v>0</v>
      </c>
      <c r="AH22" s="64" t="str">
        <f>IF(VLOOKUP(G22,全部!C:AT,44,FALSE)=0,"",VLOOKUP(G22,全部!C:AT,44,FALSE))</f>
        <v/>
      </c>
      <c r="AI22">
        <v>0</v>
      </c>
      <c r="AJ22" s="3">
        <v>41912.686249999999</v>
      </c>
      <c r="AK22" s="2" t="s">
        <v>2263</v>
      </c>
    </row>
    <row r="23" spans="1:37" x14ac:dyDescent="0.15">
      <c r="A23" s="2" t="s">
        <v>2262</v>
      </c>
      <c r="B23">
        <v>404</v>
      </c>
      <c r="C23" s="3">
        <v>40940</v>
      </c>
      <c r="D23" s="2" t="s">
        <v>37</v>
      </c>
      <c r="E23" s="2" t="s">
        <v>2261</v>
      </c>
      <c r="F23" s="2" t="s">
        <v>38</v>
      </c>
      <c r="G23" s="2" t="s">
        <v>85</v>
      </c>
      <c r="H23" s="2" t="s">
        <v>86</v>
      </c>
      <c r="I23" s="4">
        <f>VLOOKUP(G23,全部!C:M,11,FALSE)</f>
        <v>20000000</v>
      </c>
      <c r="J23" s="4">
        <f t="shared" si="0"/>
        <v>5102771</v>
      </c>
      <c r="K23" s="4">
        <f>VLOOKUP(计算!G23,全部!C:N,12,FALSE)</f>
        <v>5102771</v>
      </c>
      <c r="L23" s="5">
        <f>VLOOKUP(G23,全部!C:P,14,FALSE)</f>
        <v>25102771</v>
      </c>
      <c r="M23" s="5">
        <f>VLOOKUP(G23,全部!C:V,20,FALSE)*100</f>
        <v>3</v>
      </c>
      <c r="N23" s="6">
        <f>VLOOKUP(G23,全部!C:W,21,FALSE)</f>
        <v>753083.13</v>
      </c>
      <c r="O23" s="4">
        <f>VLOOKUP(G23,全部!C:X,22,FALSE)</f>
        <v>753083</v>
      </c>
      <c r="P23" s="4">
        <f>VLOOKUP(G23,全部!C:Y,23,FALSE)</f>
        <v>753083</v>
      </c>
      <c r="Q23" s="6">
        <f>VLOOKUP(G23,全部!C:Z,24,FALSE)</f>
        <v>0</v>
      </c>
      <c r="R23" s="7">
        <f>VLOOKUP(G23,全部!C:AA,25,FALSE)</f>
        <v>23847632.449999999</v>
      </c>
      <c r="S23" s="7">
        <f>VLOOKUP(G23,全部!C:AB,26,FALSE)</f>
        <v>23847632.449999999</v>
      </c>
      <c r="T23" s="4">
        <f>VLOOKUP(计算!G23,全部!C:AC,27,FALSE)</f>
        <v>23847632.449999999</v>
      </c>
      <c r="U23" s="4">
        <f>VLOOKUP(G23,全部!C:AD,28,FALSE)</f>
        <v>23847632.449999999</v>
      </c>
      <c r="V23" s="6">
        <f>VLOOKUP(G23,全部!C:AE,29,FALSE)</f>
        <v>0.95</v>
      </c>
      <c r="W23" s="4">
        <f>VLOOKUP(G23,全部!C:AF,30,FALSE)</f>
        <v>23095725.170000002</v>
      </c>
      <c r="X23" s="4">
        <f>VLOOKUP(G23,全部!C:AG,31,FALSE)</f>
        <v>23095725.170000002</v>
      </c>
      <c r="Y23" s="4">
        <f>VLOOKUP(计算!G23,全部!C:AH,32,FALSE)</f>
        <v>23847632.170000002</v>
      </c>
      <c r="Z23" s="4">
        <f>VLOOKUP(G23,全部!C:AL,36,FALSE)</f>
        <v>23847632.170000002</v>
      </c>
      <c r="AA23" s="4">
        <f>VLOOKUP(G23,全部!C:AM,37,FALSE)</f>
        <v>3.4000000000000002E-2</v>
      </c>
      <c r="AB23" s="6">
        <f>VLOOKUP(G23,全部!C:AN,38,FALSE)</f>
        <v>810819.50329999998</v>
      </c>
      <c r="AC23" s="4">
        <f>VLOOKUP(G23,全部!C:AO,39,FALSE)</f>
        <v>810820</v>
      </c>
      <c r="AD23" s="4">
        <f>VLOOKUP(G23,全部!C:AP,40,FALSE)</f>
        <v>810820</v>
      </c>
      <c r="AE23" s="6">
        <f>VLOOKUP(G23,全部!C:AQ,41,FALSE)</f>
        <v>0</v>
      </c>
      <c r="AF23" s="4">
        <f>VLOOKUP(G23,全部!C:AR,42,FALSE)</f>
        <v>0</v>
      </c>
      <c r="AG23" s="7">
        <f>VLOOKUP(G23,全部!C:AS,43,FALSE)</f>
        <v>50</v>
      </c>
      <c r="AH23" s="64" t="str">
        <f>IF(VLOOKUP(G23,全部!C:AT,44,FALSE)=0,"",VLOOKUP(G23,全部!C:AT,44,FALSE))</f>
        <v>管庄</v>
      </c>
      <c r="AI23">
        <v>0</v>
      </c>
      <c r="AJ23" s="3">
        <v>41912.686249999999</v>
      </c>
      <c r="AK23" s="2" t="s">
        <v>2260</v>
      </c>
    </row>
    <row r="24" spans="1:37" x14ac:dyDescent="0.15">
      <c r="A24" s="2" t="s">
        <v>2259</v>
      </c>
      <c r="B24">
        <v>411</v>
      </c>
      <c r="C24" s="3">
        <v>40940</v>
      </c>
      <c r="D24" s="2" t="s">
        <v>37</v>
      </c>
      <c r="E24" s="2" t="s">
        <v>2258</v>
      </c>
      <c r="F24" s="2" t="s">
        <v>38</v>
      </c>
      <c r="G24" s="2" t="s">
        <v>87</v>
      </c>
      <c r="H24" s="2" t="s">
        <v>88</v>
      </c>
      <c r="I24" s="4">
        <f>VLOOKUP(G24,全部!C:M,11,FALSE)</f>
        <v>33000000</v>
      </c>
      <c r="J24" s="4">
        <f t="shared" si="0"/>
        <v>0</v>
      </c>
      <c r="K24" s="4">
        <f>VLOOKUP(计算!G24,全部!C:N,12,FALSE)</f>
        <v>0</v>
      </c>
      <c r="L24" s="5">
        <f>VLOOKUP(G24,全部!C:P,14,FALSE)</f>
        <v>0</v>
      </c>
      <c r="M24" s="5">
        <f>VLOOKUP(G24,全部!C:V,20,FALSE)*100</f>
        <v>3.5000000000000004</v>
      </c>
      <c r="N24" s="6">
        <f>VLOOKUP(G24,全部!C:W,21,FALSE)</f>
        <v>1155000</v>
      </c>
      <c r="O24" s="4">
        <f>VLOOKUP(G24,全部!C:X,22,FALSE)</f>
        <v>1155000</v>
      </c>
      <c r="P24" s="4">
        <f>VLOOKUP(G24,全部!C:Y,23,FALSE)</f>
        <v>1155000</v>
      </c>
      <c r="Q24" s="6">
        <f>VLOOKUP(G24,全部!C:Z,24,FALSE)</f>
        <v>0</v>
      </c>
      <c r="R24" s="7">
        <f>VLOOKUP(G24,全部!C:AA,25,FALSE)</f>
        <v>22720000</v>
      </c>
      <c r="S24" s="7">
        <f>VLOOKUP(G24,全部!C:AB,26,FALSE)</f>
        <v>22720000</v>
      </c>
      <c r="T24" s="4">
        <f>VLOOKUP(计算!G24,全部!C:AC,27,FALSE)</f>
        <v>21720000</v>
      </c>
      <c r="U24" s="4">
        <f>VLOOKUP(G24,全部!C:AD,28,FALSE)</f>
        <v>21720000</v>
      </c>
      <c r="V24" s="6">
        <f>VLOOKUP(G24,全部!C:AE,29,FALSE)</f>
        <v>0.6581818181818182</v>
      </c>
      <c r="W24" s="4">
        <f>VLOOKUP(G24,全部!C:AF,30,FALSE)</f>
        <v>19634904.469999999</v>
      </c>
      <c r="X24" s="4">
        <f>VLOOKUP(G24,全部!C:AG,31,FALSE)</f>
        <v>19634904.469999999</v>
      </c>
      <c r="Y24" s="4">
        <f>VLOOKUP(计算!G24,全部!C:AH,32,FALSE)</f>
        <v>21702791.469999999</v>
      </c>
      <c r="Z24" s="4">
        <f>VLOOKUP(G24,全部!C:AL,36,FALSE)</f>
        <v>21702791.469999999</v>
      </c>
      <c r="AA24" s="4">
        <f>VLOOKUP(G24,全部!C:AM,37,FALSE)</f>
        <v>3.4000000000000002E-2</v>
      </c>
      <c r="AB24" s="6">
        <f>VLOOKUP(G24,全部!C:AN,38,FALSE)</f>
        <v>772480</v>
      </c>
      <c r="AC24" s="4">
        <f>VLOOKUP(G24,全部!C:AO,39,FALSE)</f>
        <v>772480</v>
      </c>
      <c r="AD24" s="4">
        <f>VLOOKUP(G24,全部!C:AP,40,FALSE)</f>
        <v>772480</v>
      </c>
      <c r="AE24" s="6">
        <f>VLOOKUP(G24,全部!C:AQ,41,FALSE)</f>
        <v>0</v>
      </c>
      <c r="AF24" s="4">
        <f>VLOOKUP(G24,全部!C:AR,42,FALSE)</f>
        <v>0</v>
      </c>
      <c r="AG24" s="7">
        <f>VLOOKUP(G24,全部!C:AS,43,FALSE)</f>
        <v>0</v>
      </c>
      <c r="AH24" s="64" t="str">
        <f>IF(VLOOKUP(G24,全部!C:AT,44,FALSE)=0,"",VLOOKUP(G24,全部!C:AT,44,FALSE))</f>
        <v/>
      </c>
      <c r="AI24">
        <v>0</v>
      </c>
      <c r="AJ24" s="3">
        <v>41912.686249999999</v>
      </c>
      <c r="AK24" s="2" t="s">
        <v>2257</v>
      </c>
    </row>
    <row r="25" spans="1:37" x14ac:dyDescent="0.15">
      <c r="A25" s="2" t="s">
        <v>2256</v>
      </c>
      <c r="B25">
        <v>38</v>
      </c>
      <c r="C25" s="3">
        <v>40940</v>
      </c>
      <c r="D25" s="2" t="s">
        <v>37</v>
      </c>
      <c r="E25" s="2" t="s">
        <v>2255</v>
      </c>
      <c r="F25" s="2" t="s">
        <v>41</v>
      </c>
      <c r="G25" s="2" t="s">
        <v>83</v>
      </c>
      <c r="H25" s="2" t="s">
        <v>84</v>
      </c>
      <c r="I25" s="4">
        <f>VLOOKUP(G25,全部!C:M,11,FALSE)</f>
        <v>90000</v>
      </c>
      <c r="J25" s="4">
        <f t="shared" si="0"/>
        <v>0</v>
      </c>
      <c r="K25" s="4">
        <f>VLOOKUP(计算!G25,全部!C:N,12,FALSE)</f>
        <v>0</v>
      </c>
      <c r="L25" s="5">
        <f>VLOOKUP(G25,全部!C:P,14,FALSE)</f>
        <v>0</v>
      </c>
      <c r="M25" s="5">
        <f>VLOOKUP(G25,全部!C:V,20,FALSE)*100</f>
        <v>6.4</v>
      </c>
      <c r="N25" s="6">
        <f>VLOOKUP(G25,全部!C:W,21,FALSE)</f>
        <v>5760</v>
      </c>
      <c r="O25" s="4">
        <f>VLOOKUP(G25,全部!C:X,22,FALSE)</f>
        <v>5760</v>
      </c>
      <c r="P25" s="4">
        <f>VLOOKUP(G25,全部!C:Y,23,FALSE)</f>
        <v>5760</v>
      </c>
      <c r="Q25" s="6">
        <f>VLOOKUP(G25,全部!C:Z,24,FALSE)</f>
        <v>0</v>
      </c>
      <c r="R25" s="7">
        <f>VLOOKUP(G25,全部!C:AA,25,FALSE)</f>
        <v>0</v>
      </c>
      <c r="S25" s="7">
        <f>VLOOKUP(G25,全部!C:AB,26,FALSE)</f>
        <v>0</v>
      </c>
      <c r="T25" s="4">
        <f>VLOOKUP(计算!G25,全部!C:AC,27,FALSE)</f>
        <v>72000</v>
      </c>
      <c r="U25" s="4">
        <f>VLOOKUP(G25,全部!C:AD,28,FALSE)</f>
        <v>72000</v>
      </c>
      <c r="V25" s="6">
        <f>VLOOKUP(G25,全部!C:AE,29,FALSE)</f>
        <v>0.8</v>
      </c>
      <c r="W25" s="4">
        <f>VLOOKUP(G25,全部!C:AF,30,FALSE)</f>
        <v>0</v>
      </c>
      <c r="X25" s="4">
        <f>VLOOKUP(G25,全部!C:AG,31,FALSE)</f>
        <v>0</v>
      </c>
      <c r="Y25" s="4">
        <f>VLOOKUP(计算!G25,全部!C:AH,32,FALSE)</f>
        <v>66960</v>
      </c>
      <c r="Z25" s="4">
        <f>VLOOKUP(G25,全部!C:AL,36,FALSE)</f>
        <v>66960</v>
      </c>
      <c r="AA25" s="4">
        <f>VLOOKUP(G25,全部!C:AM,37,FALSE)</f>
        <v>5.6000000000000001E-2</v>
      </c>
      <c r="AB25" s="6">
        <f>VLOOKUP(G25,全部!C:AN,38,FALSE)</f>
        <v>5040</v>
      </c>
      <c r="AC25" s="4">
        <f>VLOOKUP(G25,全部!C:AO,39,FALSE)</f>
        <v>5040</v>
      </c>
      <c r="AD25" s="4">
        <f>VLOOKUP(G25,全部!C:AP,40,FALSE)</f>
        <v>5040</v>
      </c>
      <c r="AE25" s="6">
        <f>VLOOKUP(G25,全部!C:AQ,41,FALSE)</f>
        <v>0</v>
      </c>
      <c r="AF25" s="4">
        <f>VLOOKUP(G25,全部!C:AR,42,FALSE)</f>
        <v>0</v>
      </c>
      <c r="AG25" s="7">
        <f>VLOOKUP(G25,全部!C:AS,43,FALSE)</f>
        <v>0</v>
      </c>
      <c r="AH25" s="64" t="str">
        <f>IF(VLOOKUP(G25,全部!C:AT,44,FALSE)=0,"",VLOOKUP(G25,全部!C:AT,44,FALSE))</f>
        <v/>
      </c>
      <c r="AI25">
        <v>0</v>
      </c>
      <c r="AJ25" s="3">
        <v>41912.6862384259</v>
      </c>
      <c r="AK25" s="2" t="s">
        <v>2254</v>
      </c>
    </row>
    <row r="26" spans="1:37" x14ac:dyDescent="0.15">
      <c r="A26" s="2" t="s">
        <v>2253</v>
      </c>
      <c r="B26">
        <v>43</v>
      </c>
      <c r="C26" s="3">
        <v>40969</v>
      </c>
      <c r="D26" s="2" t="s">
        <v>37</v>
      </c>
      <c r="E26" s="2" t="s">
        <v>2252</v>
      </c>
      <c r="F26" s="2" t="s">
        <v>41</v>
      </c>
      <c r="G26" s="2" t="s">
        <v>91</v>
      </c>
      <c r="H26" s="2" t="s">
        <v>92</v>
      </c>
      <c r="I26" s="4">
        <f>VLOOKUP(G26,全部!C:M,11,FALSE)</f>
        <v>552000</v>
      </c>
      <c r="J26" s="4">
        <f t="shared" si="0"/>
        <v>0</v>
      </c>
      <c r="K26" s="4">
        <f>VLOOKUP(计算!G26,全部!C:N,12,FALSE)</f>
        <v>0</v>
      </c>
      <c r="L26" s="5">
        <f>VLOOKUP(G26,全部!C:P,14,FALSE)</f>
        <v>0</v>
      </c>
      <c r="M26" s="5">
        <f>VLOOKUP(G26,全部!C:V,20,FALSE)*100</f>
        <v>8.6</v>
      </c>
      <c r="N26" s="6">
        <f>VLOOKUP(G26,全部!C:W,21,FALSE)</f>
        <v>47471.999999999993</v>
      </c>
      <c r="O26" s="4">
        <f>VLOOKUP(G26,全部!C:X,22,FALSE)</f>
        <v>41668.089999999997</v>
      </c>
      <c r="P26" s="4">
        <f>VLOOKUP(G26,全部!C:Y,23,FALSE)</f>
        <v>41668.089999999997</v>
      </c>
      <c r="Q26" s="6">
        <f>VLOOKUP(G26,全部!C:Z,24,FALSE)</f>
        <v>5803.9099999999962</v>
      </c>
      <c r="R26" s="7">
        <f>VLOOKUP(G26,全部!C:AA,25,FALSE)</f>
        <v>0</v>
      </c>
      <c r="S26" s="7">
        <f>VLOOKUP(G26,全部!C:AB,26,FALSE)</f>
        <v>0</v>
      </c>
      <c r="T26" s="4">
        <f>VLOOKUP(计算!G26,全部!C:AC,27,FALSE)</f>
        <v>496800</v>
      </c>
      <c r="U26" s="4">
        <f>VLOOKUP(G26,全部!C:AD,28,FALSE)</f>
        <v>496800</v>
      </c>
      <c r="V26" s="6">
        <f>VLOOKUP(G26,全部!C:AE,29,FALSE)</f>
        <v>0.9</v>
      </c>
      <c r="W26" s="4">
        <f>VLOOKUP(G26,全部!C:AF,30,FALSE)</f>
        <v>0</v>
      </c>
      <c r="X26" s="4">
        <f>VLOOKUP(G26,全部!C:AG,31,FALSE)</f>
        <v>0</v>
      </c>
      <c r="Y26" s="4">
        <f>VLOOKUP(计算!G26,全部!C:AH,32,FALSE)</f>
        <v>480537</v>
      </c>
      <c r="Z26" s="4">
        <f>VLOOKUP(G26,全部!C:AL,36,FALSE)</f>
        <v>480537</v>
      </c>
      <c r="AA26" s="4">
        <f>VLOOKUP(G26,全部!C:AM,37,FALSE)</f>
        <v>0</v>
      </c>
      <c r="AB26" s="6">
        <f>VLOOKUP(G26,全部!C:AN,38,FALSE)</f>
        <v>16263.2</v>
      </c>
      <c r="AC26" s="4">
        <f>VLOOKUP(G26,全部!C:AO,39,FALSE)</f>
        <v>16263.2</v>
      </c>
      <c r="AD26" s="4">
        <f>VLOOKUP(G26,全部!C:AP,40,FALSE)</f>
        <v>16263.2</v>
      </c>
      <c r="AE26" s="6">
        <f>VLOOKUP(G26,全部!C:AQ,41,FALSE)</f>
        <v>0</v>
      </c>
      <c r="AF26" s="4">
        <f>VLOOKUP(G26,全部!C:AR,42,FALSE)</f>
        <v>0</v>
      </c>
      <c r="AG26" s="7">
        <f>VLOOKUP(G26,全部!C:AS,43,FALSE)</f>
        <v>0</v>
      </c>
      <c r="AH26" s="64" t="str">
        <f>IF(VLOOKUP(G26,全部!C:AT,44,FALSE)=0,"",VLOOKUP(G26,全部!C:AT,44,FALSE))</f>
        <v/>
      </c>
      <c r="AI26">
        <v>0</v>
      </c>
      <c r="AJ26" s="3">
        <v>41912.6862384259</v>
      </c>
      <c r="AK26" s="2" t="s">
        <v>2251</v>
      </c>
    </row>
    <row r="27" spans="1:37" x14ac:dyDescent="0.15">
      <c r="A27" s="2" t="s">
        <v>2250</v>
      </c>
      <c r="B27">
        <v>428</v>
      </c>
      <c r="C27" s="3">
        <v>40969</v>
      </c>
      <c r="D27" s="2" t="s">
        <v>37</v>
      </c>
      <c r="E27" s="2" t="s">
        <v>2249</v>
      </c>
      <c r="F27" s="2" t="s">
        <v>38</v>
      </c>
      <c r="G27" s="2" t="s">
        <v>89</v>
      </c>
      <c r="H27" s="2" t="s">
        <v>90</v>
      </c>
      <c r="I27" s="4">
        <f>VLOOKUP(G27,全部!C:M,11,FALSE)</f>
        <v>15000000</v>
      </c>
      <c r="J27" s="4">
        <f t="shared" si="0"/>
        <v>60000</v>
      </c>
      <c r="K27" s="4">
        <f>VLOOKUP(计算!G27,全部!C:N,12,FALSE)</f>
        <v>60000</v>
      </c>
      <c r="L27" s="5">
        <f>VLOOKUP(G27,全部!C:P,14,FALSE)</f>
        <v>0</v>
      </c>
      <c r="M27" s="5">
        <f>VLOOKUP(G27,全部!C:V,20,FALSE)*100</f>
        <v>3</v>
      </c>
      <c r="N27" s="6">
        <f>VLOOKUP(G27,全部!C:W,21,FALSE)</f>
        <v>451800</v>
      </c>
      <c r="O27" s="4">
        <f>VLOOKUP(G27,全部!C:X,22,FALSE)</f>
        <v>450000</v>
      </c>
      <c r="P27" s="4">
        <f>VLOOKUP(G27,全部!C:Y,23,FALSE)</f>
        <v>450000</v>
      </c>
      <c r="Q27" s="6">
        <f>VLOOKUP(G27,全部!C:Z,24,FALSE)</f>
        <v>1800</v>
      </c>
      <c r="R27" s="7">
        <f>VLOOKUP(G27,全部!C:AA,25,FALSE)</f>
        <v>12400000</v>
      </c>
      <c r="S27" s="7">
        <f>VLOOKUP(G27,全部!C:AB,26,FALSE)</f>
        <v>12400000</v>
      </c>
      <c r="T27" s="4">
        <f>VLOOKUP(计算!G27,全部!C:AC,27,FALSE)</f>
        <v>12400000</v>
      </c>
      <c r="U27" s="4">
        <f>VLOOKUP(G27,全部!C:AD,28,FALSE)</f>
        <v>12400000</v>
      </c>
      <c r="V27" s="6">
        <f>VLOOKUP(G27,全部!C:AE,29,FALSE)</f>
        <v>0.82337317397078358</v>
      </c>
      <c r="W27" s="4">
        <f>VLOOKUP(G27,全部!C:AF,30,FALSE)</f>
        <v>12114323.559999999</v>
      </c>
      <c r="X27" s="4">
        <f>VLOOKUP(G27,全部!C:AG,31,FALSE)</f>
        <v>12114323.560000001</v>
      </c>
      <c r="Y27" s="4">
        <f>VLOOKUP(计算!G27,全部!C:AH,32,FALSE)</f>
        <v>12399923.559999999</v>
      </c>
      <c r="Z27" s="4">
        <f>VLOOKUP(G27,全部!C:AL,36,FALSE)</f>
        <v>12399923.560000001</v>
      </c>
      <c r="AA27" s="4">
        <f>VLOOKUP(G27,全部!C:AM,37,FALSE)</f>
        <v>3.4000000000000002E-2</v>
      </c>
      <c r="AB27" s="6">
        <f>VLOOKUP(G27,全部!C:AN,38,FALSE)</f>
        <v>421600.00000000006</v>
      </c>
      <c r="AC27" s="4">
        <f>VLOOKUP(G27,全部!C:AO,39,FALSE)</f>
        <v>421600</v>
      </c>
      <c r="AD27" s="4">
        <f>VLOOKUP(G27,全部!C:AP,40,FALSE)</f>
        <v>421600</v>
      </c>
      <c r="AE27" s="6">
        <f>VLOOKUP(G27,全部!C:AQ,41,FALSE)</f>
        <v>0</v>
      </c>
      <c r="AF27" s="4">
        <f>VLOOKUP(G27,全部!C:AR,42,FALSE)</f>
        <v>0</v>
      </c>
      <c r="AG27" s="7">
        <f>VLOOKUP(G27,全部!C:AS,43,FALSE)</f>
        <v>25</v>
      </c>
      <c r="AH27" s="64" t="str">
        <f>IF(VLOOKUP(G27,全部!C:AT,44,FALSE)=0,"",VLOOKUP(G27,全部!C:AT,44,FALSE))</f>
        <v>亦庄</v>
      </c>
      <c r="AI27">
        <v>0</v>
      </c>
      <c r="AJ27" s="3">
        <v>41912.686249999999</v>
      </c>
      <c r="AK27" s="2" t="s">
        <v>2248</v>
      </c>
    </row>
    <row r="28" spans="1:37" x14ac:dyDescent="0.15">
      <c r="A28" s="2" t="s">
        <v>2247</v>
      </c>
      <c r="B28">
        <v>438</v>
      </c>
      <c r="C28" s="3">
        <v>40988</v>
      </c>
      <c r="D28" s="2" t="s">
        <v>37</v>
      </c>
      <c r="E28" s="2" t="s">
        <v>2246</v>
      </c>
      <c r="F28" s="2" t="s">
        <v>38</v>
      </c>
      <c r="G28" s="2" t="s">
        <v>93</v>
      </c>
      <c r="H28" s="2" t="s">
        <v>94</v>
      </c>
      <c r="I28" s="4">
        <f>VLOOKUP(G28,全部!C:M,11,FALSE)</f>
        <v>1523208.31</v>
      </c>
      <c r="J28" s="4">
        <f t="shared" si="0"/>
        <v>0</v>
      </c>
      <c r="K28" s="4">
        <f>VLOOKUP(计算!G28,全部!C:N,12,FALSE)</f>
        <v>0</v>
      </c>
      <c r="L28" s="5">
        <f>VLOOKUP(G28,全部!C:P,14,FALSE)</f>
        <v>0</v>
      </c>
      <c r="M28" s="5">
        <f>VLOOKUP(G28,全部!C:V,20,FALSE)*100</f>
        <v>3.5999999999999996</v>
      </c>
      <c r="N28" s="6">
        <f>VLOOKUP(G28,全部!C:W,21,FALSE)</f>
        <v>54835.499159999999</v>
      </c>
      <c r="O28" s="4">
        <f>VLOOKUP(G28,全部!C:X,22,FALSE)</f>
        <v>54835.5</v>
      </c>
      <c r="P28" s="4">
        <f>VLOOKUP(G28,全部!C:Y,23,FALSE)</f>
        <v>54835.5</v>
      </c>
      <c r="Q28" s="6">
        <f>VLOOKUP(G28,全部!C:Z,24,FALSE)</f>
        <v>0</v>
      </c>
      <c r="R28" s="7">
        <f>VLOOKUP(G28,全部!C:AA,25,FALSE)</f>
        <v>1294727.06</v>
      </c>
      <c r="S28" s="7">
        <f>VLOOKUP(G28,全部!C:AB,26,FALSE)</f>
        <v>1294727.06</v>
      </c>
      <c r="T28" s="4">
        <f>VLOOKUP(计算!G28,全部!C:AC,27,FALSE)</f>
        <v>1294727.06</v>
      </c>
      <c r="U28" s="4">
        <f>VLOOKUP(G28,全部!C:AD,28,FALSE)</f>
        <v>1294727.06</v>
      </c>
      <c r="V28" s="6">
        <f>VLOOKUP(G28,全部!C:AE,29,FALSE)</f>
        <v>0.84999999770221846</v>
      </c>
      <c r="W28" s="4">
        <f>VLOOKUP(G28,全部!C:AF,30,FALSE)</f>
        <v>1049652.07</v>
      </c>
      <c r="X28" s="4">
        <f>VLOOKUP(G28,全部!C:AG,31,FALSE)</f>
        <v>1049652.07</v>
      </c>
      <c r="Y28" s="4">
        <f>VLOOKUP(计算!G28,全部!C:AH,32,FALSE)</f>
        <v>1294623.48</v>
      </c>
      <c r="Z28" s="4">
        <f>VLOOKUP(G28,全部!C:AL,36,FALSE)</f>
        <v>1294623.48</v>
      </c>
      <c r="AA28" s="4">
        <f>VLOOKUP(G28,全部!C:AM,37,FALSE)</f>
        <v>3.4000000000000002E-2</v>
      </c>
      <c r="AB28" s="6">
        <f>VLOOKUP(G28,全部!C:AN,38,FALSE)</f>
        <v>44020.720040000007</v>
      </c>
      <c r="AC28" s="4">
        <f>VLOOKUP(G28,全部!C:AO,39,FALSE)</f>
        <v>44021</v>
      </c>
      <c r="AD28" s="4">
        <f>VLOOKUP(G28,全部!C:AP,40,FALSE)</f>
        <v>44021</v>
      </c>
      <c r="AE28" s="6">
        <f>VLOOKUP(G28,全部!C:AQ,41,FALSE)</f>
        <v>0</v>
      </c>
      <c r="AF28" s="4">
        <f>VLOOKUP(G28,全部!C:AR,42,FALSE)</f>
        <v>0</v>
      </c>
      <c r="AG28" s="7">
        <f>VLOOKUP(G28,全部!C:AS,43,FALSE)</f>
        <v>20</v>
      </c>
      <c r="AH28" s="64" t="str">
        <f>IF(VLOOKUP(G28,全部!C:AT,44,FALSE)=0,"",VLOOKUP(G28,全部!C:AT,44,FALSE))</f>
        <v>管庄</v>
      </c>
      <c r="AI28">
        <v>0</v>
      </c>
      <c r="AJ28" s="3">
        <v>41912.686249999999</v>
      </c>
      <c r="AK28" s="2" t="s">
        <v>2245</v>
      </c>
    </row>
    <row r="29" spans="1:37" x14ac:dyDescent="0.15">
      <c r="A29" s="2" t="s">
        <v>2244</v>
      </c>
      <c r="B29">
        <v>447</v>
      </c>
      <c r="C29" s="3">
        <v>40988</v>
      </c>
      <c r="D29" s="2" t="s">
        <v>37</v>
      </c>
      <c r="E29" s="2" t="s">
        <v>2243</v>
      </c>
      <c r="F29" s="2" t="s">
        <v>38</v>
      </c>
      <c r="G29" s="2" t="s">
        <v>95</v>
      </c>
      <c r="H29" s="2" t="s">
        <v>96</v>
      </c>
      <c r="I29" s="4">
        <f>VLOOKUP(G29,全部!C:M,11,FALSE)</f>
        <v>3701841.55</v>
      </c>
      <c r="J29" s="4">
        <f t="shared" si="0"/>
        <v>4570557.6500000004</v>
      </c>
      <c r="K29" s="4">
        <f>VLOOKUP(计算!G29,全部!C:N,12,FALSE)</f>
        <v>4570557.6500000004</v>
      </c>
      <c r="L29" s="5">
        <f>VLOOKUP(G29,全部!C:P,14,FALSE)</f>
        <v>0</v>
      </c>
      <c r="M29" s="5">
        <f>VLOOKUP(G29,全部!C:V,20,FALSE)*100</f>
        <v>3</v>
      </c>
      <c r="N29" s="6">
        <f>VLOOKUP(G29,全部!C:W,21,FALSE)</f>
        <v>248171.976</v>
      </c>
      <c r="O29" s="4">
        <f>VLOOKUP(G29,全部!C:X,22,FALSE)</f>
        <v>248172</v>
      </c>
      <c r="P29" s="4">
        <f>VLOOKUP(G29,全部!C:Y,23,FALSE)</f>
        <v>248172</v>
      </c>
      <c r="Q29" s="6">
        <f>VLOOKUP(G29,全部!C:Z,24,FALSE)</f>
        <v>0</v>
      </c>
      <c r="R29" s="7">
        <f>VLOOKUP(G29,全部!C:AA,25,FALSE)</f>
        <v>7316811.7300000004</v>
      </c>
      <c r="S29" s="7">
        <f>VLOOKUP(G29,全部!C:AB,26,FALSE)</f>
        <v>7316811.7300000004</v>
      </c>
      <c r="T29" s="4">
        <f>VLOOKUP(计算!G29,全部!C:AC,27,FALSE)</f>
        <v>7294401.4500000002</v>
      </c>
      <c r="U29" s="4">
        <f>VLOOKUP(G29,全部!C:AD,28,FALSE)</f>
        <v>7294401.4499999993</v>
      </c>
      <c r="V29" s="6">
        <f>VLOOKUP(G29,全部!C:AE,29,FALSE)</f>
        <v>0.88177580332438499</v>
      </c>
      <c r="W29" s="4">
        <f>VLOOKUP(G29,全部!C:AF,30,FALSE)</f>
        <v>6832563.96</v>
      </c>
      <c r="X29" s="4">
        <f>VLOOKUP(G29,全部!C:AG,31,FALSE)</f>
        <v>6832563.96</v>
      </c>
      <c r="Y29" s="4">
        <f>VLOOKUP(计算!G29,全部!C:AH,32,FALSE)</f>
        <v>7155469.46</v>
      </c>
      <c r="Z29" s="4">
        <f>VLOOKUP(G29,全部!C:AL,36,FALSE)</f>
        <v>7155469.46</v>
      </c>
      <c r="AA29" s="4">
        <f>VLOOKUP(G29,全部!C:AM,37,FALSE)</f>
        <v>3.4000000000000002E-2</v>
      </c>
      <c r="AB29" s="6">
        <f>VLOOKUP(G29,全部!C:AN,38,FALSE)</f>
        <v>248771.59882000004</v>
      </c>
      <c r="AC29" s="4">
        <f>VLOOKUP(G29,全部!C:AO,39,FALSE)</f>
        <v>248773</v>
      </c>
      <c r="AD29" s="4">
        <f>VLOOKUP(G29,全部!C:AP,40,FALSE)</f>
        <v>248773</v>
      </c>
      <c r="AE29" s="6">
        <f>VLOOKUP(G29,全部!C:AQ,41,FALSE)</f>
        <v>0</v>
      </c>
      <c r="AF29" s="4">
        <f>VLOOKUP(G29,全部!C:AR,42,FALSE)</f>
        <v>0</v>
      </c>
      <c r="AG29" s="7">
        <f>VLOOKUP(G29,全部!C:AS,43,FALSE)</f>
        <v>57</v>
      </c>
      <c r="AH29" s="64" t="str">
        <f>IF(VLOOKUP(G29,全部!C:AT,44,FALSE)=0,"",VLOOKUP(G29,全部!C:AT,44,FALSE))</f>
        <v>三河</v>
      </c>
      <c r="AI29">
        <v>0</v>
      </c>
      <c r="AJ29" s="3">
        <v>41912.686249999999</v>
      </c>
      <c r="AK29" s="2" t="s">
        <v>2242</v>
      </c>
    </row>
    <row r="30" spans="1:37" x14ac:dyDescent="0.15">
      <c r="A30" s="2" t="s">
        <v>2241</v>
      </c>
      <c r="B30">
        <v>455</v>
      </c>
      <c r="C30" s="3">
        <v>40989</v>
      </c>
      <c r="D30" s="2" t="s">
        <v>37</v>
      </c>
      <c r="E30" s="2" t="s">
        <v>2240</v>
      </c>
      <c r="F30" s="2" t="s">
        <v>38</v>
      </c>
      <c r="G30" s="2" t="s">
        <v>98</v>
      </c>
      <c r="H30" s="2" t="s">
        <v>99</v>
      </c>
      <c r="I30" s="4">
        <f>VLOOKUP(G30,全部!C:M,11,FALSE)</f>
        <v>5578834.2999999998</v>
      </c>
      <c r="J30" s="4">
        <f t="shared" si="0"/>
        <v>0</v>
      </c>
      <c r="K30" s="4">
        <f>VLOOKUP(计算!G30,全部!C:N,12,FALSE)</f>
        <v>0</v>
      </c>
      <c r="L30" s="5">
        <f>VLOOKUP(G30,全部!C:P,14,FALSE)</f>
        <v>0</v>
      </c>
      <c r="M30" s="5">
        <f>VLOOKUP(G30,全部!C:V,20,FALSE)*100</f>
        <v>3.5999999999999996</v>
      </c>
      <c r="N30" s="6">
        <f>VLOOKUP(G30,全部!C:W,21,FALSE)</f>
        <v>200838.03479999996</v>
      </c>
      <c r="O30" s="4">
        <f>VLOOKUP(G30,全部!C:X,22,FALSE)</f>
        <v>200838</v>
      </c>
      <c r="P30" s="4">
        <f>VLOOKUP(G30,全部!C:Y,23,FALSE)</f>
        <v>200838</v>
      </c>
      <c r="Q30" s="6">
        <f>VLOOKUP(G30,全部!C:Z,24,FALSE)</f>
        <v>0</v>
      </c>
      <c r="R30" s="7">
        <f>VLOOKUP(G30,全部!C:AA,25,FALSE)</f>
        <v>3416000</v>
      </c>
      <c r="S30" s="7">
        <f>VLOOKUP(G30,全部!C:AB,26,FALSE)</f>
        <v>3416000</v>
      </c>
      <c r="T30" s="4">
        <f>VLOOKUP(计算!G30,全部!C:AC,27,FALSE)</f>
        <v>3416000</v>
      </c>
      <c r="U30" s="4">
        <f>VLOOKUP(G30,全部!C:AD,28,FALSE)</f>
        <v>3416000</v>
      </c>
      <c r="V30" s="6">
        <f>VLOOKUP(G30,全部!C:AE,29,FALSE)</f>
        <v>0.61231429655474801</v>
      </c>
      <c r="W30" s="4">
        <f>VLOOKUP(G30,全部!C:AF,30,FALSE)</f>
        <v>3252562.45</v>
      </c>
      <c r="X30" s="4">
        <f>VLOOKUP(G30,全部!C:AG,31,FALSE)</f>
        <v>3252562.45</v>
      </c>
      <c r="Y30" s="4">
        <f>VLOOKUP(计算!G30,全部!C:AH,32,FALSE)</f>
        <v>3409775.64</v>
      </c>
      <c r="Z30" s="4">
        <f>VLOOKUP(G30,全部!C:AL,36,FALSE)</f>
        <v>3409775.64</v>
      </c>
      <c r="AA30" s="4">
        <f>VLOOKUP(G30,全部!C:AM,37,FALSE)</f>
        <v>3.4000000000000002E-2</v>
      </c>
      <c r="AB30" s="6">
        <f>VLOOKUP(G30,全部!C:AN,38,FALSE)</f>
        <v>116144.00000000001</v>
      </c>
      <c r="AC30" s="4">
        <f>VLOOKUP(G30,全部!C:AO,39,FALSE)</f>
        <v>116144</v>
      </c>
      <c r="AD30" s="4">
        <f>VLOOKUP(G30,全部!C:AP,40,FALSE)</f>
        <v>116144</v>
      </c>
      <c r="AE30" s="6">
        <f>VLOOKUP(G30,全部!C:AQ,41,FALSE)</f>
        <v>0</v>
      </c>
      <c r="AF30" s="4">
        <f>VLOOKUP(G30,全部!C:AR,42,FALSE)</f>
        <v>0</v>
      </c>
      <c r="AG30" s="7">
        <f>VLOOKUP(G30,全部!C:AS,43,FALSE)</f>
        <v>64</v>
      </c>
      <c r="AH30" s="64" t="str">
        <f>IF(VLOOKUP(G30,全部!C:AT,44,FALSE)=0,"",VLOOKUP(G30,全部!C:AT,44,FALSE))</f>
        <v>大兴</v>
      </c>
      <c r="AI30">
        <v>0</v>
      </c>
      <c r="AJ30" s="3">
        <v>41912.686249999999</v>
      </c>
      <c r="AK30" s="2" t="s">
        <v>2239</v>
      </c>
    </row>
    <row r="31" spans="1:37" x14ac:dyDescent="0.15">
      <c r="A31" s="2" t="s">
        <v>2238</v>
      </c>
      <c r="B31">
        <v>463</v>
      </c>
      <c r="C31" s="3">
        <v>40998</v>
      </c>
      <c r="D31" s="2" t="s">
        <v>37</v>
      </c>
      <c r="E31" s="2" t="s">
        <v>2237</v>
      </c>
      <c r="F31" s="2" t="s">
        <v>38</v>
      </c>
      <c r="G31" s="2" t="s">
        <v>101</v>
      </c>
      <c r="H31" s="2" t="s">
        <v>102</v>
      </c>
      <c r="I31" s="4">
        <f>VLOOKUP(G31,全部!C:M,11,FALSE)</f>
        <v>5045600</v>
      </c>
      <c r="J31" s="4">
        <f t="shared" si="0"/>
        <v>118800</v>
      </c>
      <c r="K31" s="4">
        <f>VLOOKUP(计算!G31,全部!C:N,12,FALSE)</f>
        <v>118800</v>
      </c>
      <c r="L31" s="5">
        <f>VLOOKUP(G31,全部!C:P,14,FALSE)</f>
        <v>0</v>
      </c>
      <c r="M31" s="5">
        <f>VLOOKUP(G31,全部!C:V,20,FALSE)*100</f>
        <v>3.5999999999999996</v>
      </c>
      <c r="N31" s="6">
        <f>VLOOKUP(G31,全部!C:W,21,FALSE)</f>
        <v>185918.4</v>
      </c>
      <c r="O31" s="4">
        <f>VLOOKUP(G31,全部!C:X,22,FALSE)</f>
        <v>185919.85</v>
      </c>
      <c r="P31" s="4">
        <f>VLOOKUP(G31,全部!C:Y,23,FALSE)</f>
        <v>185919.85</v>
      </c>
      <c r="Q31" s="6">
        <f>VLOOKUP(G31,全部!C:Z,24,FALSE)</f>
        <v>0</v>
      </c>
      <c r="R31" s="7">
        <f>VLOOKUP(G31,全部!C:AA,25,FALSE)</f>
        <v>4624200</v>
      </c>
      <c r="S31" s="7">
        <f>VLOOKUP(G31,全部!C:AB,26,FALSE)</f>
        <v>4624200</v>
      </c>
      <c r="T31" s="4">
        <f>VLOOKUP(计算!G31,全部!C:AC,27,FALSE)</f>
        <v>4737414.8600000003</v>
      </c>
      <c r="U31" s="4">
        <f>VLOOKUP(G31,全部!C:AD,28,FALSE)</f>
        <v>4737414.8600000003</v>
      </c>
      <c r="V31" s="6">
        <f>VLOOKUP(G31,全部!C:AE,29,FALSE)</f>
        <v>0.91732144295561935</v>
      </c>
      <c r="W31" s="4">
        <f>VLOOKUP(G31,全部!C:AF,30,FALSE)</f>
        <v>4276212.79</v>
      </c>
      <c r="X31" s="4">
        <f>VLOOKUP(G31,全部!C:AG,31,FALSE)</f>
        <v>4276212.79</v>
      </c>
      <c r="Y31" s="4">
        <f>VLOOKUP(计算!G31,全部!C:AH,32,FALSE)</f>
        <v>4737414.8600000013</v>
      </c>
      <c r="Z31" s="4">
        <f>VLOOKUP(G31,全部!C:AL,36,FALSE)</f>
        <v>4737414.8600000003</v>
      </c>
      <c r="AA31" s="4">
        <f>VLOOKUP(G31,全部!C:AM,37,FALSE)</f>
        <v>0</v>
      </c>
      <c r="AB31" s="6">
        <f>VLOOKUP(G31,全部!C:AN,38,FALSE)</f>
        <v>0</v>
      </c>
      <c r="AC31" s="4">
        <f>VLOOKUP(G31,全部!C:AO,39,FALSE)</f>
        <v>0</v>
      </c>
      <c r="AD31" s="4">
        <f>VLOOKUP(G31,全部!C:AP,40,FALSE)</f>
        <v>0</v>
      </c>
      <c r="AE31" s="6">
        <f>VLOOKUP(G31,全部!C:AQ,41,FALSE)</f>
        <v>0</v>
      </c>
      <c r="AF31" s="4">
        <f>VLOOKUP(G31,全部!C:AR,42,FALSE)</f>
        <v>0</v>
      </c>
      <c r="AG31" s="7">
        <f>VLOOKUP(G31,全部!C:AS,43,FALSE)</f>
        <v>54</v>
      </c>
      <c r="AH31" s="64" t="str">
        <f>IF(VLOOKUP(G31,全部!C:AT,44,FALSE)=0,"",VLOOKUP(G31,全部!C:AT,44,FALSE))</f>
        <v>郭大龙</v>
      </c>
      <c r="AI31">
        <v>0</v>
      </c>
      <c r="AJ31" s="3">
        <v>41912.686249999999</v>
      </c>
      <c r="AK31" s="2" t="s">
        <v>2236</v>
      </c>
    </row>
    <row r="32" spans="1:37" x14ac:dyDescent="0.15">
      <c r="A32" s="2" t="s">
        <v>2235</v>
      </c>
      <c r="B32">
        <v>479</v>
      </c>
      <c r="C32" s="3">
        <v>41000</v>
      </c>
      <c r="D32" s="2" t="s">
        <v>37</v>
      </c>
      <c r="E32" s="2" t="s">
        <v>2234</v>
      </c>
      <c r="F32" s="2" t="s">
        <v>38</v>
      </c>
      <c r="G32" s="2" t="s">
        <v>108</v>
      </c>
      <c r="H32" s="2" t="s">
        <v>109</v>
      </c>
      <c r="I32" s="4">
        <f>VLOOKUP(G32,全部!C:M,11,FALSE)</f>
        <v>416950</v>
      </c>
      <c r="J32" s="4">
        <f t="shared" si="0"/>
        <v>36973.599999999999</v>
      </c>
      <c r="K32" s="4">
        <f>VLOOKUP(计算!G32,全部!C:N,12,FALSE)</f>
        <v>36973.599999999999</v>
      </c>
      <c r="L32" s="5">
        <f>VLOOKUP(G32,全部!C:P,14,FALSE)</f>
        <v>453923.6</v>
      </c>
      <c r="M32" s="5">
        <f>VLOOKUP(G32,全部!C:V,20,FALSE)*100</f>
        <v>3.5999999999999996</v>
      </c>
      <c r="N32" s="6">
        <f>VLOOKUP(G32,全部!C:W,21,FALSE)</f>
        <v>16341.249599999997</v>
      </c>
      <c r="O32" s="4">
        <f>VLOOKUP(G32,全部!C:X,22,FALSE)</f>
        <v>15010</v>
      </c>
      <c r="P32" s="4">
        <f>VLOOKUP(G32,全部!C:Y,23,FALSE)</f>
        <v>15010</v>
      </c>
      <c r="Q32" s="6">
        <f>VLOOKUP(G32,全部!C:Z,24,FALSE)</f>
        <v>1331.2495999999974</v>
      </c>
      <c r="R32" s="7">
        <f>VLOOKUP(G32,全部!C:AA,25,FALSE)</f>
        <v>431228</v>
      </c>
      <c r="S32" s="7">
        <f>VLOOKUP(G32,全部!C:AB,26,FALSE)</f>
        <v>431228</v>
      </c>
      <c r="T32" s="4">
        <f>VLOOKUP(计算!G32,全部!C:AC,27,FALSE)</f>
        <v>431228</v>
      </c>
      <c r="U32" s="4">
        <f>VLOOKUP(G32,全部!C:AD,28,FALSE)</f>
        <v>431228</v>
      </c>
      <c r="V32" s="6">
        <f>VLOOKUP(G32,全部!C:AE,29,FALSE)</f>
        <v>0.95000127774806165</v>
      </c>
      <c r="W32" s="4">
        <f>VLOOKUP(G32,全部!C:AF,30,FALSE)</f>
        <v>255500</v>
      </c>
      <c r="X32" s="4">
        <f>VLOOKUP(G32,全部!C:AG,31,FALSE)</f>
        <v>255500</v>
      </c>
      <c r="Y32" s="4">
        <f>VLOOKUP(计算!G32,全部!C:AH,32,FALSE)</f>
        <v>427020</v>
      </c>
      <c r="Z32" s="4">
        <f>VLOOKUP(G32,全部!C:AL,36,FALSE)</f>
        <v>427020</v>
      </c>
      <c r="AA32" s="4">
        <f>VLOOKUP(G32,全部!C:AM,37,FALSE)</f>
        <v>3.4000000000000002E-2</v>
      </c>
      <c r="AB32" s="6">
        <f>VLOOKUP(G32,全部!C:AN,38,FALSE)</f>
        <v>14661.752</v>
      </c>
      <c r="AC32" s="4">
        <f>VLOOKUP(G32,全部!C:AO,39,FALSE)</f>
        <v>14662</v>
      </c>
      <c r="AD32" s="4">
        <f>VLOOKUP(G32,全部!C:AP,40,FALSE)</f>
        <v>14662</v>
      </c>
      <c r="AE32" s="6">
        <f>VLOOKUP(G32,全部!C:AQ,41,FALSE)</f>
        <v>0</v>
      </c>
      <c r="AF32" s="4">
        <f>VLOOKUP(G32,全部!C:AR,42,FALSE)</f>
        <v>0</v>
      </c>
      <c r="AG32" s="7">
        <f>VLOOKUP(G32,全部!C:AS,43,FALSE)</f>
        <v>0</v>
      </c>
      <c r="AH32" s="64" t="str">
        <f>IF(VLOOKUP(G32,全部!C:AT,44,FALSE)=0,"",VLOOKUP(G32,全部!C:AT,44,FALSE))</f>
        <v/>
      </c>
      <c r="AI32">
        <v>0</v>
      </c>
      <c r="AJ32" s="3">
        <v>41912.686249999999</v>
      </c>
      <c r="AK32" s="2" t="s">
        <v>2233</v>
      </c>
    </row>
    <row r="33" spans="1:37" x14ac:dyDescent="0.15">
      <c r="A33" s="2" t="s">
        <v>2232</v>
      </c>
      <c r="B33">
        <v>47</v>
      </c>
      <c r="C33" s="3">
        <v>41000</v>
      </c>
      <c r="D33" s="2" t="s">
        <v>37</v>
      </c>
      <c r="E33" s="2" t="s">
        <v>2231</v>
      </c>
      <c r="F33" s="2" t="s">
        <v>41</v>
      </c>
      <c r="G33" s="2" t="s">
        <v>106</v>
      </c>
      <c r="H33" s="2" t="s">
        <v>107</v>
      </c>
      <c r="I33" s="4">
        <f>VLOOKUP(G33,全部!C:M,11,FALSE)</f>
        <v>28833444.800000001</v>
      </c>
      <c r="J33" s="4">
        <f t="shared" si="0"/>
        <v>0</v>
      </c>
      <c r="K33" s="4">
        <f>VLOOKUP(计算!G33,全部!C:N,12,FALSE)</f>
        <v>0</v>
      </c>
      <c r="L33" s="5">
        <f>VLOOKUP(G33,全部!C:P,14,FALSE)</f>
        <v>0</v>
      </c>
      <c r="M33" s="5">
        <f>VLOOKUP(G33,全部!C:V,20,FALSE)*100</f>
        <v>5.6000000000000005</v>
      </c>
      <c r="N33" s="6">
        <f>VLOOKUP(G33,全部!C:W,21,FALSE)</f>
        <v>1614672.9088000001</v>
      </c>
      <c r="O33" s="4">
        <f>VLOOKUP(G33,全部!C:X,22,FALSE)</f>
        <v>1614673</v>
      </c>
      <c r="P33" s="4">
        <f>VLOOKUP(G33,全部!C:Y,23,FALSE)</f>
        <v>1614673</v>
      </c>
      <c r="Q33" s="6">
        <f>VLOOKUP(G33,全部!C:Z,24,FALSE)</f>
        <v>-9.119999990798533E-2</v>
      </c>
      <c r="R33" s="7">
        <f>VLOOKUP(G33,全部!C:AA,25,FALSE)</f>
        <v>0</v>
      </c>
      <c r="S33" s="7">
        <f>VLOOKUP(G33,全部!C:AB,26,FALSE)</f>
        <v>0</v>
      </c>
      <c r="T33" s="4">
        <f>VLOOKUP(计算!G33,全部!C:AC,27,FALSE)</f>
        <v>22666755.800000001</v>
      </c>
      <c r="U33" s="4">
        <f>VLOOKUP(G33,全部!C:AD,28,FALSE)</f>
        <v>22666755.800000001</v>
      </c>
      <c r="V33" s="6">
        <f>VLOOKUP(G33,全部!C:AE,29,FALSE)</f>
        <v>0.78612721987349909</v>
      </c>
      <c r="W33" s="4">
        <f>VLOOKUP(G33,全部!C:AF,30,FALSE)</f>
        <v>0</v>
      </c>
      <c r="X33" s="4">
        <f>VLOOKUP(G33,全部!C:AG,31,FALSE)</f>
        <v>0</v>
      </c>
      <c r="Y33" s="4">
        <f>VLOOKUP(计算!G33,全部!C:AH,32,FALSE)</f>
        <v>22653028.379999999</v>
      </c>
      <c r="Z33" s="4">
        <f>VLOOKUP(G33,全部!C:AL,36,FALSE)</f>
        <v>22653028.379999999</v>
      </c>
      <c r="AA33" s="4">
        <f>VLOOKUP(G33,全部!C:AM,37,FALSE)</f>
        <v>0</v>
      </c>
      <c r="AB33" s="6">
        <f>VLOOKUP(G33,全部!C:AN,38,FALSE)</f>
        <v>0</v>
      </c>
      <c r="AC33" s="4">
        <f>VLOOKUP(G33,全部!C:AO,39,FALSE)</f>
        <v>0</v>
      </c>
      <c r="AD33" s="4">
        <f>VLOOKUP(G33,全部!C:AP,40,FALSE)</f>
        <v>0</v>
      </c>
      <c r="AE33" s="6">
        <f>VLOOKUP(G33,全部!C:AQ,41,FALSE)</f>
        <v>0</v>
      </c>
      <c r="AF33" s="4">
        <f>VLOOKUP(G33,全部!C:AR,42,FALSE)</f>
        <v>0</v>
      </c>
      <c r="AG33" s="7">
        <f>VLOOKUP(G33,全部!C:AS,43,FALSE)</f>
        <v>0</v>
      </c>
      <c r="AH33" s="64" t="str">
        <f>IF(VLOOKUP(G33,全部!C:AT,44,FALSE)=0,"",VLOOKUP(G33,全部!C:AT,44,FALSE))</f>
        <v/>
      </c>
      <c r="AI33">
        <v>0</v>
      </c>
      <c r="AJ33" s="3">
        <v>41912.6862384259</v>
      </c>
      <c r="AK33" s="2" t="s">
        <v>2230</v>
      </c>
    </row>
    <row r="34" spans="1:37" x14ac:dyDescent="0.15">
      <c r="A34" s="2" t="s">
        <v>2229</v>
      </c>
      <c r="B34">
        <v>430</v>
      </c>
      <c r="C34" s="3">
        <v>41000</v>
      </c>
      <c r="D34" s="2" t="s">
        <v>37</v>
      </c>
      <c r="E34" s="2" t="s">
        <v>2228</v>
      </c>
      <c r="F34" s="2" t="s">
        <v>38</v>
      </c>
      <c r="G34" s="2" t="s">
        <v>104</v>
      </c>
      <c r="H34" s="2" t="s">
        <v>105</v>
      </c>
      <c r="I34" s="4">
        <f>VLOOKUP(G34,全部!C:M,11,FALSE)</f>
        <v>1315898</v>
      </c>
      <c r="J34" s="4">
        <f t="shared" si="0"/>
        <v>0</v>
      </c>
      <c r="K34" s="4">
        <f>VLOOKUP(计算!G34,全部!C:N,12,FALSE)</f>
        <v>0</v>
      </c>
      <c r="L34" s="5">
        <f>VLOOKUP(G34,全部!C:P,14,FALSE)</f>
        <v>0</v>
      </c>
      <c r="M34" s="5">
        <f>VLOOKUP(G34,全部!C:V,20,FALSE)*100</f>
        <v>3.5999999999999996</v>
      </c>
      <c r="N34" s="6">
        <f>VLOOKUP(G34,全部!C:W,21,FALSE)</f>
        <v>47372.327999999994</v>
      </c>
      <c r="O34" s="4">
        <f>VLOOKUP(G34,全部!C:X,22,FALSE)</f>
        <v>0</v>
      </c>
      <c r="P34" s="4">
        <f>VLOOKUP(G34,全部!C:Y,23,FALSE)</f>
        <v>0</v>
      </c>
      <c r="Q34" s="6">
        <f>VLOOKUP(G34,全部!C:Z,24,FALSE)</f>
        <v>47372.327999999994</v>
      </c>
      <c r="R34" s="7">
        <f>VLOOKUP(G34,全部!C:AA,25,FALSE)</f>
        <v>0</v>
      </c>
      <c r="S34" s="7">
        <f>VLOOKUP(G34,全部!C:AB,26,FALSE)</f>
        <v>0</v>
      </c>
      <c r="T34" s="4">
        <f>VLOOKUP(计算!G34,全部!C:AC,27,FALSE)</f>
        <v>0</v>
      </c>
      <c r="U34" s="4">
        <f>VLOOKUP(G34,全部!C:AD,28,FALSE)</f>
        <v>0</v>
      </c>
      <c r="V34" s="6">
        <f>VLOOKUP(G34,全部!C:AE,29,FALSE)</f>
        <v>0</v>
      </c>
      <c r="W34" s="4">
        <f>VLOOKUP(G34,全部!C:AF,30,FALSE)</f>
        <v>0</v>
      </c>
      <c r="X34" s="4">
        <f>VLOOKUP(G34,全部!C:AG,31,FALSE)</f>
        <v>0</v>
      </c>
      <c r="Y34" s="4">
        <f>VLOOKUP(计算!G34,全部!C:AH,32,FALSE)</f>
        <v>0</v>
      </c>
      <c r="Z34" s="4">
        <f>VLOOKUP(G34,全部!C:AL,36,FALSE)</f>
        <v>0</v>
      </c>
      <c r="AA34" s="4">
        <f>VLOOKUP(G34,全部!C:AM,37,FALSE)</f>
        <v>3.4000000000000002E-2</v>
      </c>
      <c r="AB34" s="6">
        <f>VLOOKUP(G34,全部!C:AN,38,FALSE)</f>
        <v>0</v>
      </c>
      <c r="AC34" s="4">
        <f>VLOOKUP(G34,全部!C:AO,39,FALSE)</f>
        <v>0</v>
      </c>
      <c r="AD34" s="4">
        <f>VLOOKUP(G34,全部!C:AP,40,FALSE)</f>
        <v>0</v>
      </c>
      <c r="AE34" s="6">
        <f>VLOOKUP(G34,全部!C:AQ,41,FALSE)</f>
        <v>0</v>
      </c>
      <c r="AF34" s="4">
        <f>VLOOKUP(G34,全部!C:AR,42,FALSE)</f>
        <v>0</v>
      </c>
      <c r="AG34" s="7">
        <f>VLOOKUP(G34,全部!C:AS,43,FALSE)</f>
        <v>6</v>
      </c>
      <c r="AH34" s="64" t="str">
        <f>IF(VLOOKUP(G34,全部!C:AT,44,FALSE)=0,"",VLOOKUP(G34,全部!C:AT,44,FALSE))</f>
        <v>三河</v>
      </c>
      <c r="AI34">
        <v>0</v>
      </c>
      <c r="AJ34" s="3">
        <v>41912.686249999999</v>
      </c>
      <c r="AK34" s="2" t="s">
        <v>2227</v>
      </c>
    </row>
    <row r="35" spans="1:37" x14ac:dyDescent="0.15">
      <c r="A35" s="2" t="s">
        <v>2226</v>
      </c>
      <c r="B35">
        <v>471</v>
      </c>
      <c r="C35" s="3">
        <v>41006</v>
      </c>
      <c r="D35" s="2" t="s">
        <v>37</v>
      </c>
      <c r="E35" s="2" t="s">
        <v>2225</v>
      </c>
      <c r="F35" s="2" t="s">
        <v>38</v>
      </c>
      <c r="G35" s="2" t="s">
        <v>110</v>
      </c>
      <c r="H35" s="2" t="s">
        <v>111</v>
      </c>
      <c r="I35" s="4">
        <f>VLOOKUP(G35,全部!C:M,11,FALSE)</f>
        <v>4328546</v>
      </c>
      <c r="J35" s="4">
        <f t="shared" si="0"/>
        <v>0</v>
      </c>
      <c r="K35" s="4">
        <f>VLOOKUP(计算!G35,全部!C:N,12,FALSE)</f>
        <v>0</v>
      </c>
      <c r="L35" s="5">
        <f>VLOOKUP(G35,全部!C:P,14,FALSE)</f>
        <v>0</v>
      </c>
      <c r="M35" s="5">
        <f>VLOOKUP(G35,全部!C:V,20,FALSE)*100</f>
        <v>4.5999999999999996</v>
      </c>
      <c r="N35" s="6">
        <f>VLOOKUP(G35,全部!C:W,21,FALSE)</f>
        <v>199113.11600000001</v>
      </c>
      <c r="O35" s="4">
        <f>VLOOKUP(G35,全部!C:X,22,FALSE)</f>
        <v>199113</v>
      </c>
      <c r="P35" s="4">
        <f>VLOOKUP(G35,全部!C:Y,23,FALSE)</f>
        <v>199113</v>
      </c>
      <c r="Q35" s="6">
        <f>VLOOKUP(G35,全部!C:Z,24,FALSE)</f>
        <v>0</v>
      </c>
      <c r="R35" s="7">
        <f>VLOOKUP(G35,全部!C:AA,25,FALSE)</f>
        <v>3462837</v>
      </c>
      <c r="S35" s="7">
        <f>VLOOKUP(G35,全部!C:AB,26,FALSE)</f>
        <v>3462837</v>
      </c>
      <c r="T35" s="4">
        <f>VLOOKUP(计算!G35,全部!C:AC,27,FALSE)</f>
        <v>3462837</v>
      </c>
      <c r="U35" s="4">
        <f>VLOOKUP(G35,全部!C:AD,28,FALSE)</f>
        <v>3462837</v>
      </c>
      <c r="V35" s="6">
        <f>VLOOKUP(G35,全部!C:AE,29,FALSE)</f>
        <v>0.80000004620489185</v>
      </c>
      <c r="W35" s="4">
        <f>VLOOKUP(G35,全部!C:AF,30,FALSE)</f>
        <v>3278949.26</v>
      </c>
      <c r="X35" s="4">
        <f>VLOOKUP(G35,全部!C:AG,31,FALSE)</f>
        <v>3278949.26</v>
      </c>
      <c r="Y35" s="4">
        <f>VLOOKUP(计算!G35,全部!C:AH,32,FALSE)</f>
        <v>3462635.86</v>
      </c>
      <c r="Z35" s="4">
        <f>VLOOKUP(G35,全部!C:AL,36,FALSE)</f>
        <v>3462635.86</v>
      </c>
      <c r="AA35" s="4">
        <f>VLOOKUP(G35,全部!C:AM,37,FALSE)</f>
        <v>3.4000000000000002E-2</v>
      </c>
      <c r="AB35" s="6">
        <f>VLOOKUP(G35,全部!C:AN,38,FALSE)</f>
        <v>117736.45800000001</v>
      </c>
      <c r="AC35" s="4">
        <f>VLOOKUP(G35,全部!C:AO,39,FALSE)</f>
        <v>117737</v>
      </c>
      <c r="AD35" s="4">
        <f>VLOOKUP(G35,全部!C:AP,40,FALSE)</f>
        <v>117737</v>
      </c>
      <c r="AE35" s="6">
        <f>VLOOKUP(G35,全部!C:AQ,41,FALSE)</f>
        <v>0</v>
      </c>
      <c r="AF35" s="4">
        <f>VLOOKUP(G35,全部!C:AR,42,FALSE)</f>
        <v>0</v>
      </c>
      <c r="AG35" s="7">
        <f>VLOOKUP(G35,全部!C:AS,43,FALSE)</f>
        <v>55</v>
      </c>
      <c r="AH35" s="64" t="str">
        <f>IF(VLOOKUP(G35,全部!C:AT,44,FALSE)=0,"",VLOOKUP(G35,全部!C:AT,44,FALSE))</f>
        <v>管庄</v>
      </c>
      <c r="AI35">
        <v>0</v>
      </c>
      <c r="AJ35" s="3">
        <v>41912.686249999999</v>
      </c>
      <c r="AK35" s="2" t="s">
        <v>2224</v>
      </c>
    </row>
    <row r="36" spans="1:37" x14ac:dyDescent="0.15">
      <c r="A36" s="2" t="s">
        <v>2223</v>
      </c>
      <c r="B36">
        <v>503</v>
      </c>
      <c r="C36" s="3">
        <v>41030</v>
      </c>
      <c r="D36" s="2" t="s">
        <v>37</v>
      </c>
      <c r="E36" s="2" t="s">
        <v>2222</v>
      </c>
      <c r="F36" s="2" t="s">
        <v>38</v>
      </c>
      <c r="G36" s="2" t="s">
        <v>114</v>
      </c>
      <c r="H36" s="2" t="s">
        <v>115</v>
      </c>
      <c r="I36" s="4">
        <f>VLOOKUP(G36,全部!C:M,11,FALSE)</f>
        <v>5473241</v>
      </c>
      <c r="J36" s="4">
        <f t="shared" si="0"/>
        <v>47753</v>
      </c>
      <c r="K36" s="4">
        <f>VLOOKUP(计算!G36,全部!C:N,12,FALSE)</f>
        <v>47753</v>
      </c>
      <c r="L36" s="5">
        <f>VLOOKUP(G36,全部!C:P,14,FALSE)</f>
        <v>5520994</v>
      </c>
      <c r="M36" s="5">
        <f>VLOOKUP(G36,全部!C:V,20,FALSE)*100</f>
        <v>3</v>
      </c>
      <c r="N36" s="6">
        <f>VLOOKUP(G36,全部!C:W,21,FALSE)</f>
        <v>165629.82</v>
      </c>
      <c r="O36" s="4">
        <f>VLOOKUP(G36,全部!C:X,22,FALSE)</f>
        <v>164197</v>
      </c>
      <c r="P36" s="4">
        <f>VLOOKUP(G36,全部!C:Y,23,FALSE)</f>
        <v>164197</v>
      </c>
      <c r="Q36" s="6">
        <f>VLOOKUP(G36,全部!C:Z,24,FALSE)</f>
        <v>1432.820000000007</v>
      </c>
      <c r="R36" s="7">
        <f>VLOOKUP(G36,全部!C:AA,25,FALSE)</f>
        <v>5520994</v>
      </c>
      <c r="S36" s="7">
        <f>VLOOKUP(G36,全部!C:AB,26,FALSE)</f>
        <v>5520994</v>
      </c>
      <c r="T36" s="4">
        <f>VLOOKUP(计算!G36,全部!C:AC,27,FALSE)</f>
        <v>5244944.3</v>
      </c>
      <c r="U36" s="4">
        <f>VLOOKUP(G36,全部!C:AD,28,FALSE)</f>
        <v>5244944.3</v>
      </c>
      <c r="V36" s="6">
        <f>VLOOKUP(G36,全部!C:AE,29,FALSE)</f>
        <v>0.95</v>
      </c>
      <c r="W36" s="4">
        <f>VLOOKUP(G36,全部!C:AF,30,FALSE)</f>
        <v>4583453.1899999995</v>
      </c>
      <c r="X36" s="4">
        <f>VLOOKUP(G36,全部!C:AG,31,FALSE)</f>
        <v>4583453.1900000004</v>
      </c>
      <c r="Y36" s="4">
        <f>VLOOKUP(计算!G36,全部!C:AH,32,FALSE)</f>
        <v>5238901.4700000007</v>
      </c>
      <c r="Z36" s="4">
        <f>VLOOKUP(G36,全部!C:AL,36,FALSE)</f>
        <v>5238901.47</v>
      </c>
      <c r="AA36" s="4">
        <f>VLOOKUP(G36,全部!C:AM,37,FALSE)</f>
        <v>3.7400000000000003E-2</v>
      </c>
      <c r="AB36" s="6">
        <f>VLOOKUP(G36,全部!C:AN,38,FALSE)</f>
        <v>206485.17560000002</v>
      </c>
      <c r="AC36" s="4">
        <f>VLOOKUP(G36,全部!C:AO,39,FALSE)</f>
        <v>0</v>
      </c>
      <c r="AD36" s="4">
        <f>VLOOKUP(G36,全部!C:AP,40,FALSE)</f>
        <v>0</v>
      </c>
      <c r="AE36" s="6">
        <f>VLOOKUP(G36,全部!C:AQ,41,FALSE)</f>
        <v>0</v>
      </c>
      <c r="AF36" s="4">
        <f>VLOOKUP(G36,全部!C:AR,42,FALSE)</f>
        <v>0</v>
      </c>
      <c r="AG36" s="7">
        <f>VLOOKUP(G36,全部!C:AS,43,FALSE)</f>
        <v>0</v>
      </c>
      <c r="AH36" s="64" t="str">
        <f>IF(VLOOKUP(G36,全部!C:AT,44,FALSE)=0,"",VLOOKUP(G36,全部!C:AT,44,FALSE))</f>
        <v/>
      </c>
      <c r="AI36">
        <v>0</v>
      </c>
      <c r="AJ36" s="3">
        <v>41912.686249999999</v>
      </c>
      <c r="AK36" s="2" t="s">
        <v>2221</v>
      </c>
    </row>
    <row r="37" spans="1:37" x14ac:dyDescent="0.15">
      <c r="A37" s="2" t="s">
        <v>2220</v>
      </c>
      <c r="B37">
        <v>519</v>
      </c>
      <c r="C37" s="3">
        <v>41030</v>
      </c>
      <c r="D37" s="2" t="s">
        <v>37</v>
      </c>
      <c r="E37" s="2" t="s">
        <v>2219</v>
      </c>
      <c r="F37" s="2" t="s">
        <v>38</v>
      </c>
      <c r="G37" s="2" t="s">
        <v>112</v>
      </c>
      <c r="H37" s="2" t="s">
        <v>113</v>
      </c>
      <c r="I37" s="4">
        <f>VLOOKUP(G37,全部!C:M,11,FALSE)</f>
        <v>3831227.57</v>
      </c>
      <c r="J37" s="4">
        <f t="shared" si="0"/>
        <v>0</v>
      </c>
      <c r="K37" s="4">
        <f>VLOOKUP(计算!G37,全部!C:N,12,FALSE)</f>
        <v>0</v>
      </c>
      <c r="L37" s="5">
        <f>VLOOKUP(G37,全部!C:P,14,FALSE)</f>
        <v>0</v>
      </c>
      <c r="M37" s="5">
        <f>VLOOKUP(G37,全部!C:V,20,FALSE)*100</f>
        <v>3.5999999999999996</v>
      </c>
      <c r="N37" s="6">
        <f>VLOOKUP(G37,全部!C:W,21,FALSE)</f>
        <v>137924.19251999998</v>
      </c>
      <c r="O37" s="4">
        <f>VLOOKUP(G37,全部!C:X,22,FALSE)</f>
        <v>137924</v>
      </c>
      <c r="P37" s="4">
        <f>VLOOKUP(G37,全部!C:Y,23,FALSE)</f>
        <v>137924</v>
      </c>
      <c r="Q37" s="6">
        <f>VLOOKUP(G37,全部!C:Z,24,FALSE)</f>
        <v>0</v>
      </c>
      <c r="R37" s="7">
        <f>VLOOKUP(G37,全部!C:AA,25,FALSE)</f>
        <v>3831180</v>
      </c>
      <c r="S37" s="7">
        <f>VLOOKUP(G37,全部!C:AB,26,FALSE)</f>
        <v>3831180</v>
      </c>
      <c r="T37" s="4">
        <f>VLOOKUP(计算!G37,全部!C:AC,27,FALSE)</f>
        <v>3030000</v>
      </c>
      <c r="U37" s="4">
        <f>VLOOKUP(G37,全部!C:AD,28,FALSE)</f>
        <v>3030000</v>
      </c>
      <c r="V37" s="6">
        <f>VLOOKUP(G37,全部!C:AE,29,FALSE)</f>
        <v>0.79086923045920765</v>
      </c>
      <c r="W37" s="4">
        <f>VLOOKUP(G37,全部!C:AF,30,FALSE)</f>
        <v>2725866.33</v>
      </c>
      <c r="X37" s="4">
        <f>VLOOKUP(G37,全部!C:AG,31,FALSE)</f>
        <v>2725866.33</v>
      </c>
      <c r="Y37" s="4">
        <f>VLOOKUP(计算!G37,全部!C:AH,32,FALSE)</f>
        <v>3007274.13</v>
      </c>
      <c r="Z37" s="4">
        <f>VLOOKUP(G37,全部!C:AL,36,FALSE)</f>
        <v>3007274.13</v>
      </c>
      <c r="AA37" s="4">
        <f>VLOOKUP(G37,全部!C:AM,37,FALSE)</f>
        <v>3.4000000000000002E-2</v>
      </c>
      <c r="AB37" s="6">
        <f>VLOOKUP(G37,全部!C:AN,38,FALSE)</f>
        <v>130260.12000000001</v>
      </c>
      <c r="AC37" s="4">
        <f>VLOOKUP(G37,全部!C:AO,39,FALSE)</f>
        <v>130260</v>
      </c>
      <c r="AD37" s="4">
        <f>VLOOKUP(G37,全部!C:AP,40,FALSE)</f>
        <v>130260</v>
      </c>
      <c r="AE37" s="6">
        <f>VLOOKUP(G37,全部!C:AQ,41,FALSE)</f>
        <v>0</v>
      </c>
      <c r="AF37" s="4">
        <f>VLOOKUP(G37,全部!C:AR,42,FALSE)</f>
        <v>0</v>
      </c>
      <c r="AG37" s="7">
        <f>VLOOKUP(G37,全部!C:AS,43,FALSE)</f>
        <v>31</v>
      </c>
      <c r="AH37" s="64" t="str">
        <f>IF(VLOOKUP(G37,全部!C:AT,44,FALSE)=0,"",VLOOKUP(G37,全部!C:AT,44,FALSE))</f>
        <v>亦庄</v>
      </c>
      <c r="AI37">
        <v>0</v>
      </c>
      <c r="AJ37" s="3">
        <v>41912.686249999999</v>
      </c>
      <c r="AK37" s="2" t="s">
        <v>2218</v>
      </c>
    </row>
    <row r="38" spans="1:37" x14ac:dyDescent="0.15">
      <c r="A38" s="2" t="s">
        <v>2217</v>
      </c>
      <c r="B38">
        <v>487</v>
      </c>
      <c r="C38" s="3">
        <v>41031</v>
      </c>
      <c r="D38" s="2" t="s">
        <v>37</v>
      </c>
      <c r="E38" s="2" t="s">
        <v>2216</v>
      </c>
      <c r="F38" s="2" t="s">
        <v>38</v>
      </c>
      <c r="G38" s="2" t="s">
        <v>116</v>
      </c>
      <c r="H38" s="2" t="s">
        <v>117</v>
      </c>
      <c r="I38" s="4">
        <f>VLOOKUP(G38,全部!C:M,11,FALSE)</f>
        <v>1785000</v>
      </c>
      <c r="J38" s="4">
        <f t="shared" si="0"/>
        <v>0</v>
      </c>
      <c r="K38" s="4">
        <f>VLOOKUP(计算!G38,全部!C:N,12,FALSE)</f>
        <v>0</v>
      </c>
      <c r="L38" s="5">
        <f>VLOOKUP(G38,全部!C:P,14,FALSE)</f>
        <v>0</v>
      </c>
      <c r="M38" s="5">
        <f>VLOOKUP(G38,全部!C:V,20,FALSE)*100</f>
        <v>3.5999999999999996</v>
      </c>
      <c r="N38" s="6">
        <f>VLOOKUP(G38,全部!C:W,21,FALSE)</f>
        <v>64259.999999999993</v>
      </c>
      <c r="O38" s="4">
        <f>VLOOKUP(G38,全部!C:X,22,FALSE)</f>
        <v>64260</v>
      </c>
      <c r="P38" s="4">
        <f>VLOOKUP(G38,全部!C:Y,23,FALSE)</f>
        <v>64260</v>
      </c>
      <c r="Q38" s="6">
        <f>VLOOKUP(G38,全部!C:Z,24,FALSE)</f>
        <v>0</v>
      </c>
      <c r="R38" s="7">
        <f>VLOOKUP(G38,全部!C:AA,25,FALSE)</f>
        <v>500000</v>
      </c>
      <c r="S38" s="7">
        <f>VLOOKUP(G38,全部!C:AB,26,FALSE)</f>
        <v>500000</v>
      </c>
      <c r="T38" s="4">
        <f>VLOOKUP(计算!G38,全部!C:AC,27,FALSE)</f>
        <v>500000</v>
      </c>
      <c r="U38" s="4">
        <f>VLOOKUP(G38,全部!C:AD,28,FALSE)</f>
        <v>500000</v>
      </c>
      <c r="V38" s="6">
        <f>VLOOKUP(G38,全部!C:AE,29,FALSE)</f>
        <v>0.28011204481792717</v>
      </c>
      <c r="W38" s="4">
        <f>VLOOKUP(G38,全部!C:AF,30,FALSE)</f>
        <v>395996</v>
      </c>
      <c r="X38" s="4">
        <f>VLOOKUP(G38,全部!C:AG,31,FALSE)</f>
        <v>395996</v>
      </c>
      <c r="Y38" s="4">
        <f>VLOOKUP(计算!G38,全部!C:AH,32,FALSE)</f>
        <v>499041.97</v>
      </c>
      <c r="Z38" s="4">
        <f>VLOOKUP(G38,全部!C:AL,36,FALSE)</f>
        <v>499041.97</v>
      </c>
      <c r="AA38" s="4">
        <f>VLOOKUP(G38,全部!C:AM,37,FALSE)</f>
        <v>3.4000000000000002E-2</v>
      </c>
      <c r="AB38" s="6">
        <f>VLOOKUP(G38,全部!C:AN,38,FALSE)</f>
        <v>17000</v>
      </c>
      <c r="AC38" s="4">
        <f>VLOOKUP(G38,全部!C:AO,39,FALSE)</f>
        <v>17000</v>
      </c>
      <c r="AD38" s="4">
        <f>VLOOKUP(G38,全部!C:AP,40,FALSE)</f>
        <v>17000</v>
      </c>
      <c r="AE38" s="6">
        <f>VLOOKUP(G38,全部!C:AQ,41,FALSE)</f>
        <v>0</v>
      </c>
      <c r="AF38" s="4">
        <f>VLOOKUP(G38,全部!C:AR,42,FALSE)</f>
        <v>0</v>
      </c>
      <c r="AG38" s="7">
        <f>VLOOKUP(G38,全部!C:AS,43,FALSE)</f>
        <v>20</v>
      </c>
      <c r="AH38" s="64" t="str">
        <f>IF(VLOOKUP(G38,全部!C:AT,44,FALSE)=0,"",VLOOKUP(G38,全部!C:AT,44,FALSE))</f>
        <v>管庄</v>
      </c>
      <c r="AI38">
        <v>0</v>
      </c>
      <c r="AJ38" s="3">
        <v>41912.686249999999</v>
      </c>
      <c r="AK38" s="2" t="s">
        <v>2215</v>
      </c>
    </row>
    <row r="39" spans="1:37" x14ac:dyDescent="0.15">
      <c r="A39" s="2" t="s">
        <v>2214</v>
      </c>
      <c r="B39">
        <v>496</v>
      </c>
      <c r="C39" s="3">
        <v>41039</v>
      </c>
      <c r="D39" s="2" t="s">
        <v>37</v>
      </c>
      <c r="E39" s="2" t="s">
        <v>2213</v>
      </c>
      <c r="F39" s="2" t="s">
        <v>38</v>
      </c>
      <c r="G39" s="2" t="s">
        <v>118</v>
      </c>
      <c r="H39" s="2" t="s">
        <v>119</v>
      </c>
      <c r="I39" s="4">
        <f>VLOOKUP(G39,全部!C:M,11,FALSE)</f>
        <v>2220000</v>
      </c>
      <c r="J39" s="4">
        <f t="shared" si="0"/>
        <v>351000</v>
      </c>
      <c r="K39" s="4">
        <f>VLOOKUP(计算!G39,全部!C:N,12,FALSE)</f>
        <v>351000</v>
      </c>
      <c r="L39" s="5">
        <f>VLOOKUP(G39,全部!C:P,14,FALSE)</f>
        <v>2571000</v>
      </c>
      <c r="M39" s="5">
        <f>VLOOKUP(G39,全部!C:V,20,FALSE)*100</f>
        <v>3.5999999999999996</v>
      </c>
      <c r="N39" s="6">
        <f>VLOOKUP(G39,全部!C:W,21,FALSE)</f>
        <v>92556</v>
      </c>
      <c r="O39" s="4">
        <f>VLOOKUP(G39,全部!C:X,22,FALSE)</f>
        <v>92556</v>
      </c>
      <c r="P39" s="4">
        <f>VLOOKUP(G39,全部!C:Y,23,FALSE)</f>
        <v>92556</v>
      </c>
      <c r="Q39" s="6">
        <f>VLOOKUP(G39,全部!C:Z,24,FALSE)</f>
        <v>0</v>
      </c>
      <c r="R39" s="7">
        <f>VLOOKUP(G39,全部!C:AA,25,FALSE)</f>
        <v>1550000</v>
      </c>
      <c r="S39" s="7">
        <f>VLOOKUP(G39,全部!C:AB,26,FALSE)</f>
        <v>1550000</v>
      </c>
      <c r="T39" s="4">
        <f>VLOOKUP(计算!G39,全部!C:AC,27,FALSE)</f>
        <v>1530000</v>
      </c>
      <c r="U39" s="4">
        <f>VLOOKUP(G39,全部!C:AD,28,FALSE)</f>
        <v>1530000</v>
      </c>
      <c r="V39" s="6">
        <f>VLOOKUP(G39,全部!C:AE,29,FALSE)</f>
        <v>0.59509918319719957</v>
      </c>
      <c r="W39" s="4">
        <f>VLOOKUP(G39,全部!C:AF,30,FALSE)</f>
        <v>954836</v>
      </c>
      <c r="X39" s="4">
        <f>VLOOKUP(G39,全部!C:AG,31,FALSE)</f>
        <v>954836</v>
      </c>
      <c r="Y39" s="4">
        <f>VLOOKUP(计算!G39,全部!C:AH,32,FALSE)</f>
        <v>1530000</v>
      </c>
      <c r="Z39" s="4">
        <f>VLOOKUP(G39,全部!C:AL,36,FALSE)</f>
        <v>1530000</v>
      </c>
      <c r="AA39" s="4">
        <f>VLOOKUP(G39,全部!C:AM,37,FALSE)</f>
        <v>3.4000000000000002E-2</v>
      </c>
      <c r="AB39" s="6">
        <f>VLOOKUP(G39,全部!C:AN,38,FALSE)</f>
        <v>52700.000000000007</v>
      </c>
      <c r="AC39" s="4">
        <f>VLOOKUP(G39,全部!C:AO,39,FALSE)</f>
        <v>52700</v>
      </c>
      <c r="AD39" s="4">
        <f>VLOOKUP(G39,全部!C:AP,40,FALSE)</f>
        <v>52700</v>
      </c>
      <c r="AE39" s="6">
        <f>VLOOKUP(G39,全部!C:AQ,41,FALSE)</f>
        <v>0</v>
      </c>
      <c r="AF39" s="4">
        <f>VLOOKUP(G39,全部!C:AR,42,FALSE)</f>
        <v>0</v>
      </c>
      <c r="AG39" s="7">
        <f>VLOOKUP(G39,全部!C:AS,43,FALSE)</f>
        <v>26</v>
      </c>
      <c r="AH39" s="64" t="str">
        <f>IF(VLOOKUP(G39,全部!C:AT,44,FALSE)=0,"",VLOOKUP(G39,全部!C:AT,44,FALSE))</f>
        <v>管庄</v>
      </c>
      <c r="AI39">
        <v>0</v>
      </c>
      <c r="AJ39" s="3">
        <v>41912.686249999999</v>
      </c>
      <c r="AK39" s="2" t="s">
        <v>2212</v>
      </c>
    </row>
    <row r="40" spans="1:37" x14ac:dyDescent="0.15">
      <c r="A40" s="2" t="s">
        <v>2211</v>
      </c>
      <c r="B40">
        <v>511</v>
      </c>
      <c r="C40" s="3">
        <v>41050</v>
      </c>
      <c r="D40" s="2" t="s">
        <v>37</v>
      </c>
      <c r="E40" s="2" t="s">
        <v>2210</v>
      </c>
      <c r="F40" s="2" t="s">
        <v>38</v>
      </c>
      <c r="G40" s="2" t="s">
        <v>120</v>
      </c>
      <c r="H40" s="2" t="s">
        <v>121</v>
      </c>
      <c r="I40" s="4">
        <f>VLOOKUP(G40,全部!C:M,11,FALSE)</f>
        <v>36296483</v>
      </c>
      <c r="J40" s="4">
        <f t="shared" si="0"/>
        <v>1293588</v>
      </c>
      <c r="K40" s="4">
        <f>VLOOKUP(计算!G40,全部!C:N,12,FALSE)</f>
        <v>1293588</v>
      </c>
      <c r="L40" s="5">
        <f>VLOOKUP(G40,全部!C:P,14,FALSE)</f>
        <v>0</v>
      </c>
      <c r="M40" s="5">
        <f>VLOOKUP(G40,全部!C:V,20,FALSE)*100</f>
        <v>3</v>
      </c>
      <c r="N40" s="6">
        <f>VLOOKUP(G40,全部!C:W,21,FALSE)</f>
        <v>1127702.1299999999</v>
      </c>
      <c r="O40" s="4">
        <f>VLOOKUP(G40,全部!C:X,22,FALSE)</f>
        <v>1127608</v>
      </c>
      <c r="P40" s="4">
        <f>VLOOKUP(G40,全部!C:Y,23,FALSE)</f>
        <v>1127608</v>
      </c>
      <c r="Q40" s="6">
        <f>VLOOKUP(G40,全部!C:Z,24,FALSE)</f>
        <v>94.129999999888241</v>
      </c>
      <c r="R40" s="7">
        <f>VLOOKUP(G40,全部!C:AA,25,FALSE)</f>
        <v>33307394</v>
      </c>
      <c r="S40" s="7">
        <f>VLOOKUP(G40,全部!C:AB,26,FALSE)</f>
        <v>33307394</v>
      </c>
      <c r="T40" s="4">
        <f>VLOOKUP(计算!G40,全部!C:AC,27,FALSE)</f>
        <v>33307394</v>
      </c>
      <c r="U40" s="4">
        <f>VLOOKUP(G40,全部!C:AD,28,FALSE)</f>
        <v>33307394</v>
      </c>
      <c r="V40" s="6">
        <f>VLOOKUP(G40,全部!C:AE,29,FALSE)</f>
        <v>0.88606893027682765</v>
      </c>
      <c r="W40" s="4">
        <f>VLOOKUP(G40,全部!C:AF,30,FALSE)</f>
        <v>28631226.400000002</v>
      </c>
      <c r="X40" s="4">
        <f>VLOOKUP(G40,全部!C:AG,31,FALSE)</f>
        <v>28631226.399999999</v>
      </c>
      <c r="Y40" s="4">
        <f>VLOOKUP(计算!G40,全部!C:AH,32,FALSE)</f>
        <v>33434705.170000002</v>
      </c>
      <c r="Z40" s="4">
        <f>VLOOKUP(G40,全部!C:AL,36,FALSE)</f>
        <v>33434705.170000002</v>
      </c>
      <c r="AA40" s="4">
        <f>VLOOKUP(G40,全部!C:AM,37,FALSE)</f>
        <v>3.7400000000000003E-2</v>
      </c>
      <c r="AB40" s="6">
        <f>VLOOKUP(G40,全部!C:AN,38,FALSE)</f>
        <v>1245696.5356000001</v>
      </c>
      <c r="AC40" s="4">
        <f>VLOOKUP(G40,全部!C:AO,39,FALSE)</f>
        <v>0</v>
      </c>
      <c r="AD40" s="4">
        <f>VLOOKUP(G40,全部!C:AP,40,FALSE)</f>
        <v>0</v>
      </c>
      <c r="AE40" s="6">
        <f>VLOOKUP(G40,全部!C:AQ,41,FALSE)</f>
        <v>0</v>
      </c>
      <c r="AF40" s="4">
        <f>VLOOKUP(G40,全部!C:AR,42,FALSE)</f>
        <v>0</v>
      </c>
      <c r="AG40" s="7">
        <f>VLOOKUP(G40,全部!C:AS,43,FALSE)</f>
        <v>320</v>
      </c>
      <c r="AH40" s="64" t="str">
        <f>IF(VLOOKUP(G40,全部!C:AT,44,FALSE)=0,"",VLOOKUP(G40,全部!C:AT,44,FALSE))</f>
        <v>管庄</v>
      </c>
      <c r="AI40">
        <v>0</v>
      </c>
      <c r="AJ40" s="3">
        <v>41912.686249999999</v>
      </c>
      <c r="AK40" s="2" t="s">
        <v>2209</v>
      </c>
    </row>
    <row r="41" spans="1:37" x14ac:dyDescent="0.15">
      <c r="A41" s="2" t="s">
        <v>2208</v>
      </c>
      <c r="B41">
        <v>50</v>
      </c>
      <c r="C41" s="3">
        <v>41061</v>
      </c>
      <c r="D41" s="2" t="s">
        <v>37</v>
      </c>
      <c r="E41" s="2" t="s">
        <v>2207</v>
      </c>
      <c r="F41" s="2" t="s">
        <v>41</v>
      </c>
      <c r="G41" s="2" t="s">
        <v>122</v>
      </c>
      <c r="H41" s="2" t="s">
        <v>123</v>
      </c>
      <c r="I41" s="4">
        <f>VLOOKUP(G41,全部!C:M,11,FALSE)</f>
        <v>6196000</v>
      </c>
      <c r="J41" s="4">
        <f t="shared" si="0"/>
        <v>0</v>
      </c>
      <c r="K41" s="4">
        <f>VLOOKUP(计算!G41,全部!C:N,12,FALSE)</f>
        <v>0</v>
      </c>
      <c r="L41" s="5">
        <f>VLOOKUP(G41,全部!C:P,14,FALSE)</f>
        <v>0</v>
      </c>
      <c r="M41" s="5">
        <f>VLOOKUP(G41,全部!C:V,20,FALSE)*100</f>
        <v>4</v>
      </c>
      <c r="N41" s="6">
        <f>VLOOKUP(G41,全部!C:W,21,FALSE)</f>
        <v>247840</v>
      </c>
      <c r="O41" s="4">
        <f>VLOOKUP(G41,全部!C:X,22,FALSE)</f>
        <v>0</v>
      </c>
      <c r="P41" s="4">
        <f>VLOOKUP(G41,全部!C:Y,23,FALSE)</f>
        <v>0</v>
      </c>
      <c r="Q41" s="6">
        <f>VLOOKUP(G41,全部!C:Z,24,FALSE)</f>
        <v>247840</v>
      </c>
      <c r="R41" s="7">
        <f>VLOOKUP(G41,全部!C:AA,25,FALSE)</f>
        <v>0</v>
      </c>
      <c r="S41" s="7">
        <f>VLOOKUP(G41,全部!C:AB,26,FALSE)</f>
        <v>0</v>
      </c>
      <c r="T41" s="4">
        <f>VLOOKUP(计算!G41,全部!C:AC,27,FALSE)</f>
        <v>3500000</v>
      </c>
      <c r="U41" s="4">
        <f>VLOOKUP(G41,全部!C:AD,28,FALSE)</f>
        <v>3500000</v>
      </c>
      <c r="V41" s="6">
        <f>VLOOKUP(G41,全部!C:AE,29,FALSE)</f>
        <v>0.5648805681084571</v>
      </c>
      <c r="W41" s="4">
        <f>VLOOKUP(G41,全部!C:AF,30,FALSE)</f>
        <v>0</v>
      </c>
      <c r="X41" s="4">
        <f>VLOOKUP(G41,全部!C:AG,31,FALSE)</f>
        <v>0</v>
      </c>
      <c r="Y41" s="4">
        <f>VLOOKUP(计算!G41,全部!C:AH,32,FALSE)</f>
        <v>3489148.65</v>
      </c>
      <c r="Z41" s="4">
        <f>VLOOKUP(G41,全部!C:AL,36,FALSE)</f>
        <v>3489148.65</v>
      </c>
      <c r="AA41" s="4">
        <f>VLOOKUP(G41,全部!C:AM,37,FALSE)</f>
        <v>0</v>
      </c>
      <c r="AB41" s="6">
        <f>VLOOKUP(G41,全部!C:AN,38,FALSE)</f>
        <v>0</v>
      </c>
      <c r="AC41" s="4">
        <f>VLOOKUP(G41,全部!C:AO,39,FALSE)</f>
        <v>0</v>
      </c>
      <c r="AD41" s="4">
        <f>VLOOKUP(G41,全部!C:AP,40,FALSE)</f>
        <v>0</v>
      </c>
      <c r="AE41" s="6">
        <f>VLOOKUP(G41,全部!C:AQ,41,FALSE)</f>
        <v>0</v>
      </c>
      <c r="AF41" s="4">
        <f>VLOOKUP(G41,全部!C:AR,42,FALSE)</f>
        <v>0</v>
      </c>
      <c r="AG41" s="7">
        <f>VLOOKUP(G41,全部!C:AS,43,FALSE)</f>
        <v>0</v>
      </c>
      <c r="AH41" s="64" t="str">
        <f>IF(VLOOKUP(G41,全部!C:AT,44,FALSE)=0,"",VLOOKUP(G41,全部!C:AT,44,FALSE))</f>
        <v/>
      </c>
      <c r="AI41">
        <v>0</v>
      </c>
      <c r="AJ41" s="3">
        <v>41912.6862384259</v>
      </c>
      <c r="AK41" s="2" t="s">
        <v>2206</v>
      </c>
    </row>
    <row r="42" spans="1:37" x14ac:dyDescent="0.15">
      <c r="A42" s="2" t="s">
        <v>2205</v>
      </c>
      <c r="B42">
        <v>528</v>
      </c>
      <c r="C42" s="3">
        <v>41073</v>
      </c>
      <c r="D42" s="2" t="s">
        <v>37</v>
      </c>
      <c r="E42" s="2" t="s">
        <v>2204</v>
      </c>
      <c r="F42" s="2" t="s">
        <v>38</v>
      </c>
      <c r="G42" s="2" t="s">
        <v>124</v>
      </c>
      <c r="H42" s="2" t="s">
        <v>125</v>
      </c>
      <c r="I42" s="4">
        <f>VLOOKUP(G42,全部!C:M,11,FALSE)</f>
        <v>1444588.7</v>
      </c>
      <c r="J42" s="4">
        <f t="shared" si="0"/>
        <v>1770220.47</v>
      </c>
      <c r="K42" s="4">
        <f>VLOOKUP(计算!G42,全部!C:N,12,FALSE)</f>
        <v>1770220.47</v>
      </c>
      <c r="L42" s="5">
        <f>VLOOKUP(G42,全部!C:P,14,FALSE)</f>
        <v>0</v>
      </c>
      <c r="M42" s="5">
        <f>VLOOKUP(G42,全部!C:V,20,FALSE)*100</f>
        <v>3.5999999999999996</v>
      </c>
      <c r="N42" s="6">
        <f>VLOOKUP(G42,全部!C:W,21,FALSE)</f>
        <v>115733.13011999999</v>
      </c>
      <c r="O42" s="4">
        <f>VLOOKUP(G42,全部!C:X,22,FALSE)</f>
        <v>115733</v>
      </c>
      <c r="P42" s="4">
        <f>VLOOKUP(G42,全部!C:Y,23,FALSE)</f>
        <v>115733</v>
      </c>
      <c r="Q42" s="6">
        <f>VLOOKUP(G42,全部!C:Z,24,FALSE)</f>
        <v>0</v>
      </c>
      <c r="R42" s="7">
        <f>VLOOKUP(G42,全部!C:AA,25,FALSE)</f>
        <v>2500366.4400000004</v>
      </c>
      <c r="S42" s="7">
        <f>VLOOKUP(G42,全部!C:AB,26,FALSE)</f>
        <v>2500366.44</v>
      </c>
      <c r="T42" s="4">
        <f>VLOOKUP(计算!G42,全部!C:AC,27,FALSE)</f>
        <v>2500366.44</v>
      </c>
      <c r="U42" s="4">
        <f>VLOOKUP(G42,全部!C:AD,28,FALSE)</f>
        <v>2500366.44</v>
      </c>
      <c r="V42" s="6">
        <f>VLOOKUP(G42,全部!C:AE,29,FALSE)</f>
        <v>0.77776512003665832</v>
      </c>
      <c r="W42" s="4">
        <f>VLOOKUP(G42,全部!C:AF,30,FALSE)</f>
        <v>2230332.1</v>
      </c>
      <c r="X42" s="4">
        <f>VLOOKUP(G42,全部!C:AG,31,FALSE)</f>
        <v>2230332.1</v>
      </c>
      <c r="Y42" s="4">
        <f>VLOOKUP(计算!G42,全部!C:AH,32,FALSE)</f>
        <v>2492151.1</v>
      </c>
      <c r="Z42" s="4">
        <f>VLOOKUP(G42,全部!C:AL,36,FALSE)</f>
        <v>2492151.1</v>
      </c>
      <c r="AA42" s="4">
        <f>VLOOKUP(G42,全部!C:AM,37,FALSE)</f>
        <v>3.4000000000000002E-2</v>
      </c>
      <c r="AB42" s="6">
        <f>VLOOKUP(G42,全部!C:AN,38,FALSE)</f>
        <v>85012.458960000004</v>
      </c>
      <c r="AC42" s="4">
        <f>VLOOKUP(G42,全部!C:AO,39,FALSE)</f>
        <v>85014</v>
      </c>
      <c r="AD42" s="4">
        <f>VLOOKUP(G42,全部!C:AP,40,FALSE)</f>
        <v>85014</v>
      </c>
      <c r="AE42" s="6">
        <f>VLOOKUP(G42,全部!C:AQ,41,FALSE)</f>
        <v>0</v>
      </c>
      <c r="AF42" s="4">
        <f>VLOOKUP(G42,全部!C:AR,42,FALSE)</f>
        <v>0</v>
      </c>
      <c r="AG42" s="7">
        <f>VLOOKUP(G42,全部!C:AS,43,FALSE)</f>
        <v>31</v>
      </c>
      <c r="AH42" s="64" t="str">
        <f>IF(VLOOKUP(G42,全部!C:AT,44,FALSE)=0,"",VLOOKUP(G42,全部!C:AT,44,FALSE))</f>
        <v>三河</v>
      </c>
      <c r="AI42">
        <v>0</v>
      </c>
      <c r="AJ42" s="3">
        <v>41912.686249999999</v>
      </c>
      <c r="AK42" s="2" t="s">
        <v>2203</v>
      </c>
    </row>
    <row r="43" spans="1:37" x14ac:dyDescent="0.15">
      <c r="A43" s="2" t="s">
        <v>2202</v>
      </c>
      <c r="B43">
        <v>54</v>
      </c>
      <c r="C43" s="3">
        <v>41091</v>
      </c>
      <c r="D43" s="2" t="s">
        <v>37</v>
      </c>
      <c r="E43" s="2" t="s">
        <v>2201</v>
      </c>
      <c r="F43" s="2" t="s">
        <v>41</v>
      </c>
      <c r="G43" s="2" t="s">
        <v>127</v>
      </c>
      <c r="H43" s="2" t="s">
        <v>128</v>
      </c>
      <c r="I43" s="4">
        <f>VLOOKUP(G43,全部!C:M,11,FALSE)</f>
        <v>1810092</v>
      </c>
      <c r="J43" s="4">
        <f t="shared" si="0"/>
        <v>0</v>
      </c>
      <c r="K43" s="4">
        <f>VLOOKUP(计算!G43,全部!C:N,12,FALSE)</f>
        <v>0</v>
      </c>
      <c r="L43" s="5">
        <f>VLOOKUP(G43,全部!C:P,14,FALSE)</f>
        <v>0</v>
      </c>
      <c r="M43" s="5">
        <f>VLOOKUP(G43,全部!C:V,20,FALSE)*100</f>
        <v>4</v>
      </c>
      <c r="N43" s="6">
        <f>VLOOKUP(G43,全部!C:W,21,FALSE)</f>
        <v>72403.680000000008</v>
      </c>
      <c r="O43" s="4">
        <f>VLOOKUP(G43,全部!C:X,22,FALSE)</f>
        <v>72404</v>
      </c>
      <c r="P43" s="4">
        <f>VLOOKUP(G43,全部!C:Y,23,FALSE)</f>
        <v>72404</v>
      </c>
      <c r="Q43" s="6">
        <f>VLOOKUP(G43,全部!C:Z,24,FALSE)</f>
        <v>-0.319999999992433</v>
      </c>
      <c r="R43" s="7">
        <f>VLOOKUP(G43,全部!C:AA,25,FALSE)</f>
        <v>0</v>
      </c>
      <c r="S43" s="7">
        <f>VLOOKUP(G43,全部!C:AB,26,FALSE)</f>
        <v>0</v>
      </c>
      <c r="T43" s="4">
        <f>VLOOKUP(计算!G43,全部!C:AC,27,FALSE)</f>
        <v>1800000</v>
      </c>
      <c r="U43" s="4">
        <f>VLOOKUP(G43,全部!C:AD,28,FALSE)</f>
        <v>1800000</v>
      </c>
      <c r="V43" s="6">
        <f>VLOOKUP(G43,全部!C:AE,29,FALSE)</f>
        <v>0.99442459278312922</v>
      </c>
      <c r="W43" s="4">
        <f>VLOOKUP(G43,全部!C:AF,30,FALSE)</f>
        <v>0</v>
      </c>
      <c r="X43" s="4">
        <f>VLOOKUP(G43,全部!C:AG,31,FALSE)</f>
        <v>0</v>
      </c>
      <c r="Y43" s="4">
        <f>VLOOKUP(计算!G43,全部!C:AH,32,FALSE)</f>
        <v>1796144</v>
      </c>
      <c r="Z43" s="4">
        <f>VLOOKUP(G43,全部!C:AL,36,FALSE)</f>
        <v>1796144</v>
      </c>
      <c r="AA43" s="4">
        <f>VLOOKUP(G43,全部!C:AM,37,FALSE)</f>
        <v>0</v>
      </c>
      <c r="AB43" s="6">
        <f>VLOOKUP(G43,全部!C:AN,38,FALSE)</f>
        <v>0</v>
      </c>
      <c r="AC43" s="4">
        <f>VLOOKUP(G43,全部!C:AO,39,FALSE)</f>
        <v>0</v>
      </c>
      <c r="AD43" s="4">
        <f>VLOOKUP(G43,全部!C:AP,40,FALSE)</f>
        <v>0</v>
      </c>
      <c r="AE43" s="6">
        <f>VLOOKUP(G43,全部!C:AQ,41,FALSE)</f>
        <v>0</v>
      </c>
      <c r="AF43" s="4">
        <f>VLOOKUP(G43,全部!C:AR,42,FALSE)</f>
        <v>0</v>
      </c>
      <c r="AG43" s="7">
        <f>VLOOKUP(G43,全部!C:AS,43,FALSE)</f>
        <v>0</v>
      </c>
      <c r="AH43" s="64" t="str">
        <f>IF(VLOOKUP(G43,全部!C:AT,44,FALSE)=0,"",VLOOKUP(G43,全部!C:AT,44,FALSE))</f>
        <v/>
      </c>
      <c r="AI43">
        <v>0</v>
      </c>
      <c r="AJ43" s="3">
        <v>41912.6862384259</v>
      </c>
      <c r="AK43" s="2" t="s">
        <v>2200</v>
      </c>
    </row>
    <row r="44" spans="1:37" x14ac:dyDescent="0.15">
      <c r="A44" s="2" t="s">
        <v>2199</v>
      </c>
      <c r="B44">
        <v>561</v>
      </c>
      <c r="C44" s="3">
        <v>41091</v>
      </c>
      <c r="D44" s="2" t="s">
        <v>37</v>
      </c>
      <c r="E44" s="2" t="s">
        <v>2198</v>
      </c>
      <c r="F44" s="2" t="s">
        <v>38</v>
      </c>
      <c r="G44" s="2" t="s">
        <v>126</v>
      </c>
      <c r="H44" s="2" t="s">
        <v>75</v>
      </c>
      <c r="I44" s="4">
        <f>VLOOKUP(G44,全部!C:M,11,FALSE)</f>
        <v>4400000</v>
      </c>
      <c r="J44" s="4">
        <f t="shared" si="0"/>
        <v>0</v>
      </c>
      <c r="K44" s="4">
        <f>VLOOKUP(计算!G44,全部!C:N,12,FALSE)</f>
        <v>0</v>
      </c>
      <c r="L44" s="5">
        <f>VLOOKUP(G44,全部!C:P,14,FALSE)</f>
        <v>0</v>
      </c>
      <c r="M44" s="5">
        <f>VLOOKUP(G44,全部!C:V,20,FALSE)*100</f>
        <v>3</v>
      </c>
      <c r="N44" s="6">
        <f>VLOOKUP(G44,全部!C:W,21,FALSE)</f>
        <v>132000</v>
      </c>
      <c r="O44" s="4">
        <f>VLOOKUP(G44,全部!C:X,22,FALSE)</f>
        <v>132000</v>
      </c>
      <c r="P44" s="4">
        <f>VLOOKUP(G44,全部!C:Y,23,FALSE)</f>
        <v>132000</v>
      </c>
      <c r="Q44" s="6">
        <f>VLOOKUP(G44,全部!C:Z,24,FALSE)</f>
        <v>0</v>
      </c>
      <c r="R44" s="7">
        <f>VLOOKUP(G44,全部!C:AA,25,FALSE)</f>
        <v>4100000</v>
      </c>
      <c r="S44" s="7">
        <f>VLOOKUP(G44,全部!C:AB,26,FALSE)</f>
        <v>4100000</v>
      </c>
      <c r="T44" s="4">
        <f>VLOOKUP(计算!G44,全部!C:AC,27,FALSE)</f>
        <v>3300000</v>
      </c>
      <c r="U44" s="4">
        <f>VLOOKUP(G44,全部!C:AD,28,FALSE)</f>
        <v>3300000</v>
      </c>
      <c r="V44" s="6">
        <f>VLOOKUP(G44,全部!C:AE,29,FALSE)</f>
        <v>0.75</v>
      </c>
      <c r="W44" s="4">
        <f>VLOOKUP(G44,全部!C:AF,30,FALSE)</f>
        <v>3180103.71</v>
      </c>
      <c r="X44" s="4">
        <f>VLOOKUP(G44,全部!C:AG,31,FALSE)</f>
        <v>3180103.71</v>
      </c>
      <c r="Y44" s="4">
        <f>VLOOKUP(计算!G44,全部!C:AH,32,FALSE)</f>
        <v>3292303.71</v>
      </c>
      <c r="Z44" s="4">
        <f>VLOOKUP(G44,全部!C:AL,36,FALSE)</f>
        <v>3292303.71</v>
      </c>
      <c r="AA44" s="4">
        <f>VLOOKUP(G44,全部!C:AM,37,FALSE)</f>
        <v>3.4000000000000002E-2</v>
      </c>
      <c r="AB44" s="6">
        <f>VLOOKUP(G44,全部!C:AN,38,FALSE)</f>
        <v>139400</v>
      </c>
      <c r="AC44" s="4">
        <f>VLOOKUP(G44,全部!C:AO,39,FALSE)</f>
        <v>112200</v>
      </c>
      <c r="AD44" s="4">
        <f>VLOOKUP(G44,全部!C:AP,40,FALSE)</f>
        <v>112200</v>
      </c>
      <c r="AE44" s="6">
        <f>VLOOKUP(G44,全部!C:AQ,41,FALSE)</f>
        <v>27200</v>
      </c>
      <c r="AF44" s="4">
        <f>VLOOKUP(G44,全部!C:AR,42,FALSE)</f>
        <v>0</v>
      </c>
      <c r="AG44" s="7">
        <f>VLOOKUP(G44,全部!C:AS,43,FALSE)</f>
        <v>0</v>
      </c>
      <c r="AH44" s="64" t="str">
        <f>IF(VLOOKUP(G44,全部!C:AT,44,FALSE)=0,"",VLOOKUP(G44,全部!C:AT,44,FALSE))</f>
        <v/>
      </c>
      <c r="AI44">
        <v>0</v>
      </c>
      <c r="AJ44" s="3">
        <v>41912.686249999999</v>
      </c>
      <c r="AK44" s="2" t="s">
        <v>2197</v>
      </c>
    </row>
    <row r="45" spans="1:37" x14ac:dyDescent="0.15">
      <c r="A45" s="2" t="s">
        <v>2196</v>
      </c>
      <c r="B45">
        <v>569</v>
      </c>
      <c r="C45" s="3">
        <v>41091</v>
      </c>
      <c r="D45" s="2" t="s">
        <v>37</v>
      </c>
      <c r="E45" s="2" t="s">
        <v>2195</v>
      </c>
      <c r="F45" s="2" t="s">
        <v>38</v>
      </c>
      <c r="G45" s="2" t="s">
        <v>131</v>
      </c>
      <c r="H45" s="2" t="s">
        <v>132</v>
      </c>
      <c r="I45" s="4">
        <f>VLOOKUP(G45,全部!C:M,11,FALSE)</f>
        <v>5538662</v>
      </c>
      <c r="J45" s="4">
        <f t="shared" si="0"/>
        <v>3392971</v>
      </c>
      <c r="K45" s="4">
        <f>VLOOKUP(计算!G45,全部!C:N,12,FALSE)</f>
        <v>3392971</v>
      </c>
      <c r="L45" s="5">
        <f>VLOOKUP(G45,全部!C:P,14,FALSE)</f>
        <v>0</v>
      </c>
      <c r="M45" s="5">
        <f>VLOOKUP(G45,全部!C:V,20,FALSE)*100</f>
        <v>3</v>
      </c>
      <c r="N45" s="6">
        <f>VLOOKUP(G45,全部!C:W,21,FALSE)</f>
        <v>267948.99</v>
      </c>
      <c r="O45" s="4">
        <f>VLOOKUP(G45,全部!C:X,22,FALSE)</f>
        <v>267949</v>
      </c>
      <c r="P45" s="4">
        <f>VLOOKUP(G45,全部!C:Y,23,FALSE)</f>
        <v>267949</v>
      </c>
      <c r="Q45" s="6">
        <f>VLOOKUP(G45,全部!C:Z,24,FALSE)</f>
        <v>0</v>
      </c>
      <c r="R45" s="7">
        <f>VLOOKUP(G45,全部!C:AA,25,FALSE)</f>
        <v>7570000</v>
      </c>
      <c r="S45" s="7">
        <f>VLOOKUP(G45,全部!C:AB,26,FALSE)</f>
        <v>7570000</v>
      </c>
      <c r="T45" s="4">
        <f>VLOOKUP(计算!G45,全部!C:AC,27,FALSE)</f>
        <v>7570000</v>
      </c>
      <c r="U45" s="4">
        <f>VLOOKUP(G45,全部!C:AD,28,FALSE)</f>
        <v>7570000</v>
      </c>
      <c r="V45" s="6">
        <f>VLOOKUP(G45,全部!C:AE,29,FALSE)</f>
        <v>0.84754937870823843</v>
      </c>
      <c r="W45" s="4">
        <f>VLOOKUP(G45,全部!C:AF,30,FALSE)</f>
        <v>7355941.4200000009</v>
      </c>
      <c r="X45" s="4">
        <f>VLOOKUP(G45,全部!C:AG,31,FALSE)</f>
        <v>7355941.4199999999</v>
      </c>
      <c r="Y45" s="4">
        <f>VLOOKUP(计算!G45,全部!C:AH,32,FALSE)</f>
        <v>7552961.8899999997</v>
      </c>
      <c r="Z45" s="4">
        <f>VLOOKUP(G45,全部!C:AL,36,FALSE)</f>
        <v>7552961.8899999997</v>
      </c>
      <c r="AA45" s="4">
        <f>VLOOKUP(G45,全部!C:AM,37,FALSE)</f>
        <v>3.7400000000000003E-2</v>
      </c>
      <c r="AB45" s="6">
        <f>VLOOKUP(G45,全部!C:AN,38,FALSE)</f>
        <v>283118</v>
      </c>
      <c r="AC45" s="4">
        <f>VLOOKUP(G45,全部!C:AO,39,FALSE)</f>
        <v>283118</v>
      </c>
      <c r="AD45" s="4">
        <f>VLOOKUP(G45,全部!C:AP,40,FALSE)</f>
        <v>283118</v>
      </c>
      <c r="AE45" s="6">
        <f>VLOOKUP(G45,全部!C:AQ,41,FALSE)</f>
        <v>0</v>
      </c>
      <c r="AF45" s="4">
        <f>VLOOKUP(G45,全部!C:AR,42,FALSE)</f>
        <v>0</v>
      </c>
      <c r="AG45" s="7">
        <f>VLOOKUP(G45,全部!C:AS,43,FALSE)</f>
        <v>0</v>
      </c>
      <c r="AH45" s="64" t="str">
        <f>IF(VLOOKUP(G45,全部!C:AT,44,FALSE)=0,"",VLOOKUP(G45,全部!C:AT,44,FALSE))</f>
        <v/>
      </c>
      <c r="AI45">
        <v>0</v>
      </c>
      <c r="AJ45" s="3">
        <v>41912.686249999999</v>
      </c>
      <c r="AK45" s="2" t="s">
        <v>2194</v>
      </c>
    </row>
    <row r="46" spans="1:37" x14ac:dyDescent="0.15">
      <c r="A46" s="2" t="s">
        <v>2193</v>
      </c>
      <c r="B46">
        <v>545</v>
      </c>
      <c r="C46" s="3">
        <v>41091</v>
      </c>
      <c r="D46" s="2" t="s">
        <v>37</v>
      </c>
      <c r="E46" s="2" t="s">
        <v>2192</v>
      </c>
      <c r="F46" s="2" t="s">
        <v>38</v>
      </c>
      <c r="G46" s="2" t="s">
        <v>129</v>
      </c>
      <c r="H46" s="2" t="s">
        <v>130</v>
      </c>
      <c r="I46" s="4">
        <f>VLOOKUP(G46,全部!C:M,11,FALSE)</f>
        <v>742782.79</v>
      </c>
      <c r="J46" s="4">
        <f t="shared" si="0"/>
        <v>149141.78</v>
      </c>
      <c r="K46" s="4">
        <f>VLOOKUP(计算!G46,全部!C:N,12,FALSE)</f>
        <v>149141.78</v>
      </c>
      <c r="L46" s="5">
        <f>VLOOKUP(G46,全部!C:P,14,FALSE)</f>
        <v>0</v>
      </c>
      <c r="M46" s="5">
        <f>VLOOKUP(G46,全部!C:V,20,FALSE)*100</f>
        <v>3.5999999999999996</v>
      </c>
      <c r="N46" s="6">
        <f>VLOOKUP(G46,全部!C:W,21,FALSE)</f>
        <v>32109.284520000001</v>
      </c>
      <c r="O46" s="4">
        <f>VLOOKUP(G46,全部!C:X,22,FALSE)</f>
        <v>26920</v>
      </c>
      <c r="P46" s="4">
        <f>VLOOKUP(G46,全部!C:Y,23,FALSE)</f>
        <v>26920</v>
      </c>
      <c r="Q46" s="6">
        <f>VLOOKUP(G46,全部!C:Z,24,FALSE)</f>
        <v>5189.2845200000011</v>
      </c>
      <c r="R46" s="7">
        <f>VLOOKUP(G46,全部!C:AA,25,FALSE)</f>
        <v>891924.57000000007</v>
      </c>
      <c r="S46" s="7">
        <f>VLOOKUP(G46,全部!C:AB,26,FALSE)</f>
        <v>891924.57</v>
      </c>
      <c r="T46" s="4">
        <f>VLOOKUP(计算!G46,全部!C:AC,27,FALSE)</f>
        <v>891924.57</v>
      </c>
      <c r="U46" s="4">
        <f>VLOOKUP(G46,全部!C:AD,28,FALSE)</f>
        <v>891924.57</v>
      </c>
      <c r="V46" s="6">
        <f>VLOOKUP(G46,全部!C:AE,29,FALSE)</f>
        <v>0.99999999999999989</v>
      </c>
      <c r="W46" s="4">
        <f>VLOOKUP(G46,全部!C:AF,30,FALSE)</f>
        <v>426993.57000000007</v>
      </c>
      <c r="X46" s="4">
        <f>VLOOKUP(G46,全部!C:AG,31,FALSE)</f>
        <v>426993.57</v>
      </c>
      <c r="Y46" s="4">
        <f>VLOOKUP(计算!G46,全部!C:AH,32,FALSE)</f>
        <v>886924.57</v>
      </c>
      <c r="Z46" s="4">
        <f>VLOOKUP(G46,全部!C:AL,36,FALSE)</f>
        <v>886924.57</v>
      </c>
      <c r="AA46" s="4">
        <f>VLOOKUP(G46,全部!C:AM,37,FALSE)</f>
        <v>3.4000000000000002E-2</v>
      </c>
      <c r="AB46" s="6">
        <f>VLOOKUP(G46,全部!C:AN,38,FALSE)</f>
        <v>30325.435379999999</v>
      </c>
      <c r="AC46" s="4">
        <f>VLOOKUP(G46,全部!C:AO,39,FALSE)</f>
        <v>30405</v>
      </c>
      <c r="AD46" s="4">
        <f>VLOOKUP(G46,全部!C:AP,40,FALSE)</f>
        <v>30405</v>
      </c>
      <c r="AE46" s="6">
        <f>VLOOKUP(G46,全部!C:AQ,41,FALSE)</f>
        <v>-79.564620000001014</v>
      </c>
      <c r="AF46" s="4">
        <f>VLOOKUP(G46,全部!C:AR,42,FALSE)</f>
        <v>0</v>
      </c>
      <c r="AG46" s="7">
        <f>VLOOKUP(G46,全部!C:AS,43,FALSE)</f>
        <v>8</v>
      </c>
      <c r="AH46" s="64" t="str">
        <f>IF(VLOOKUP(G46,全部!C:AT,44,FALSE)=0,"",VLOOKUP(G46,全部!C:AT,44,FALSE))</f>
        <v>三河</v>
      </c>
      <c r="AI46">
        <v>0</v>
      </c>
      <c r="AJ46" s="3">
        <v>41912.686249999999</v>
      </c>
      <c r="AK46" s="2" t="s">
        <v>2191</v>
      </c>
    </row>
    <row r="47" spans="1:37" x14ac:dyDescent="0.15">
      <c r="A47" s="2" t="s">
        <v>2190</v>
      </c>
      <c r="B47">
        <v>536</v>
      </c>
      <c r="C47" s="3">
        <v>41092</v>
      </c>
      <c r="D47" s="2" t="s">
        <v>37</v>
      </c>
      <c r="E47" s="2" t="s">
        <v>2189</v>
      </c>
      <c r="F47" s="2" t="s">
        <v>38</v>
      </c>
      <c r="G47" s="2" t="s">
        <v>133</v>
      </c>
      <c r="H47" s="2" t="s">
        <v>134</v>
      </c>
      <c r="I47" s="4">
        <f>VLOOKUP(G47,全部!C:M,11,FALSE)</f>
        <v>1508400</v>
      </c>
      <c r="J47" s="4">
        <f t="shared" si="0"/>
        <v>0</v>
      </c>
      <c r="K47" s="4">
        <f>VLOOKUP(计算!G47,全部!C:N,12,FALSE)</f>
        <v>0</v>
      </c>
      <c r="L47" s="5">
        <f>VLOOKUP(G47,全部!C:P,14,FALSE)</f>
        <v>0</v>
      </c>
      <c r="M47" s="5">
        <f>VLOOKUP(G47,全部!C:V,20,FALSE)*100</f>
        <v>3.5999999999999996</v>
      </c>
      <c r="N47" s="6">
        <f>VLOOKUP(G47,全部!C:W,21,FALSE)</f>
        <v>54302.399999999994</v>
      </c>
      <c r="O47" s="4">
        <f>VLOOKUP(G47,全部!C:X,22,FALSE)</f>
        <v>54302</v>
      </c>
      <c r="P47" s="4">
        <f>VLOOKUP(G47,全部!C:Y,23,FALSE)</f>
        <v>54302</v>
      </c>
      <c r="Q47" s="6">
        <f>VLOOKUP(G47,全部!C:Z,24,FALSE)</f>
        <v>0</v>
      </c>
      <c r="R47" s="7">
        <f>VLOOKUP(G47,全部!C:AA,25,FALSE)</f>
        <v>1190000</v>
      </c>
      <c r="S47" s="7">
        <f>VLOOKUP(G47,全部!C:AB,26,FALSE)</f>
        <v>1190000</v>
      </c>
      <c r="T47" s="4">
        <f>VLOOKUP(计算!G47,全部!C:AC,27,FALSE)</f>
        <v>1199905</v>
      </c>
      <c r="U47" s="4">
        <f>VLOOKUP(G47,全部!C:AD,28,FALSE)</f>
        <v>1199905</v>
      </c>
      <c r="V47" s="6">
        <f>VLOOKUP(G47,全部!C:AE,29,FALSE)</f>
        <v>0.79548196764783874</v>
      </c>
      <c r="W47" s="4">
        <f>VLOOKUP(G47,全部!C:AF,30,FALSE)</f>
        <v>1152231.93</v>
      </c>
      <c r="X47" s="4">
        <f>VLOOKUP(G47,全部!C:AG,31,FALSE)</f>
        <v>1152231.93</v>
      </c>
      <c r="Y47" s="4">
        <f>VLOOKUP(计算!G47,全部!C:AH,32,FALSE)</f>
        <v>1192691.93</v>
      </c>
      <c r="Z47" s="4">
        <f>VLOOKUP(G47,全部!C:AL,36,FALSE)</f>
        <v>1192691.93</v>
      </c>
      <c r="AA47" s="4">
        <f>VLOOKUP(G47,全部!C:AM,37,FALSE)</f>
        <v>3.4000000000000002E-2</v>
      </c>
      <c r="AB47" s="6">
        <f>VLOOKUP(G47,全部!C:AN,38,FALSE)</f>
        <v>40460</v>
      </c>
      <c r="AC47" s="4">
        <f>VLOOKUP(G47,全部!C:AO,39,FALSE)</f>
        <v>40460</v>
      </c>
      <c r="AD47" s="4">
        <f>VLOOKUP(G47,全部!C:AP,40,FALSE)</f>
        <v>40460</v>
      </c>
      <c r="AE47" s="6">
        <f>VLOOKUP(G47,全部!C:AQ,41,FALSE)</f>
        <v>0</v>
      </c>
      <c r="AF47" s="4">
        <f>VLOOKUP(G47,全部!C:AR,42,FALSE)</f>
        <v>0</v>
      </c>
      <c r="AG47" s="7">
        <f>VLOOKUP(G47,全部!C:AS,43,FALSE)</f>
        <v>7</v>
      </c>
      <c r="AH47" s="64" t="str">
        <f>IF(VLOOKUP(G47,全部!C:AT,44,FALSE)=0,"",VLOOKUP(G47,全部!C:AT,44,FALSE))</f>
        <v>管庄</v>
      </c>
      <c r="AI47">
        <v>0</v>
      </c>
      <c r="AJ47" s="3">
        <v>41912.686249999999</v>
      </c>
      <c r="AK47" s="2" t="s">
        <v>2188</v>
      </c>
    </row>
    <row r="48" spans="1:37" x14ac:dyDescent="0.15">
      <c r="A48" s="2" t="s">
        <v>2187</v>
      </c>
      <c r="B48">
        <v>578</v>
      </c>
      <c r="C48" s="3">
        <v>41108</v>
      </c>
      <c r="D48" s="2" t="s">
        <v>37</v>
      </c>
      <c r="E48" s="2" t="s">
        <v>2186</v>
      </c>
      <c r="F48" s="2" t="s">
        <v>38</v>
      </c>
      <c r="G48" s="2" t="s">
        <v>135</v>
      </c>
      <c r="H48" s="2" t="s">
        <v>136</v>
      </c>
      <c r="I48" s="4">
        <f>VLOOKUP(G48,全部!C:M,11,FALSE)</f>
        <v>8443771</v>
      </c>
      <c r="J48" s="4">
        <f t="shared" si="0"/>
        <v>1126543.3600000001</v>
      </c>
      <c r="K48" s="4">
        <f>VLOOKUP(计算!G48,全部!C:N,12,FALSE)</f>
        <v>1126543.3600000001</v>
      </c>
      <c r="L48" s="5">
        <f>VLOOKUP(G48,全部!C:P,14,FALSE)</f>
        <v>0</v>
      </c>
      <c r="M48" s="5">
        <f>VLOOKUP(G48,全部!C:V,20,FALSE)*100</f>
        <v>3</v>
      </c>
      <c r="N48" s="6">
        <f>VLOOKUP(G48,全部!C:W,21,FALSE)</f>
        <v>287109.43079999997</v>
      </c>
      <c r="O48" s="4">
        <f>VLOOKUP(G48,全部!C:X,22,FALSE)</f>
        <v>287109</v>
      </c>
      <c r="P48" s="4">
        <f>VLOOKUP(G48,全部!C:Y,23,FALSE)</f>
        <v>287109</v>
      </c>
      <c r="Q48" s="6">
        <f>VLOOKUP(G48,全部!C:Z,24,FALSE)</f>
        <v>0</v>
      </c>
      <c r="R48" s="7">
        <f>VLOOKUP(G48,全部!C:AA,25,FALSE)</f>
        <v>8599000</v>
      </c>
      <c r="S48" s="7">
        <f>VLOOKUP(G48,全部!C:AB,26,FALSE)</f>
        <v>8599000</v>
      </c>
      <c r="T48" s="4">
        <f>VLOOKUP(计算!G48,全部!C:AC,27,FALSE)</f>
        <v>8599000</v>
      </c>
      <c r="U48" s="4">
        <f>VLOOKUP(G48,全部!C:AD,28,FALSE)</f>
        <v>8599000</v>
      </c>
      <c r="V48" s="6">
        <f>VLOOKUP(G48,全部!C:AE,29,FALSE)</f>
        <v>0.89850758047617574</v>
      </c>
      <c r="W48" s="4">
        <f>VLOOKUP(G48,全部!C:AF,30,FALSE)</f>
        <v>5958030.2599999998</v>
      </c>
      <c r="X48" s="4">
        <f>VLOOKUP(G48,全部!C:AG,31,FALSE)</f>
        <v>5958030.2599999998</v>
      </c>
      <c r="Y48" s="4">
        <f>VLOOKUP(计算!G48,全部!C:AH,32,FALSE)</f>
        <v>8594025.5299999993</v>
      </c>
      <c r="Z48" s="4">
        <f>VLOOKUP(G48,全部!C:AL,36,FALSE)</f>
        <v>8594025.5299999993</v>
      </c>
      <c r="AA48" s="4">
        <f>VLOOKUP(G48,全部!C:AM,37,FALSE)</f>
        <v>3.4000000000000002E-2</v>
      </c>
      <c r="AB48" s="6">
        <f>VLOOKUP(G48,全部!C:AN,38,FALSE)</f>
        <v>292366</v>
      </c>
      <c r="AC48" s="4">
        <f>VLOOKUP(G48,全部!C:AO,39,FALSE)</f>
        <v>292366</v>
      </c>
      <c r="AD48" s="4">
        <f>VLOOKUP(G48,全部!C:AP,40,FALSE)</f>
        <v>292366</v>
      </c>
      <c r="AE48" s="6">
        <f>VLOOKUP(G48,全部!C:AQ,41,FALSE)</f>
        <v>0</v>
      </c>
      <c r="AF48" s="4">
        <f>VLOOKUP(G48,全部!C:AR,42,FALSE)</f>
        <v>0</v>
      </c>
      <c r="AG48" s="7">
        <f>VLOOKUP(G48,全部!C:AS,43,FALSE)</f>
        <v>72</v>
      </c>
      <c r="AH48" s="64" t="str">
        <f>IF(VLOOKUP(G48,全部!C:AT,44,FALSE)=0,"",VLOOKUP(G48,全部!C:AT,44,FALSE))</f>
        <v>亦庄</v>
      </c>
      <c r="AI48">
        <v>0</v>
      </c>
      <c r="AJ48" s="3">
        <v>41912.686249999999</v>
      </c>
      <c r="AK48" s="2" t="s">
        <v>2185</v>
      </c>
    </row>
    <row r="49" spans="1:37" x14ac:dyDescent="0.15">
      <c r="A49" s="2" t="s">
        <v>2184</v>
      </c>
      <c r="B49">
        <v>585</v>
      </c>
      <c r="C49" s="3">
        <v>41113</v>
      </c>
      <c r="D49" s="2" t="s">
        <v>37</v>
      </c>
      <c r="E49" s="2" t="s">
        <v>2183</v>
      </c>
      <c r="F49" s="2" t="s">
        <v>38</v>
      </c>
      <c r="G49" s="2" t="s">
        <v>137</v>
      </c>
      <c r="H49" s="2" t="s">
        <v>138</v>
      </c>
      <c r="I49" s="4">
        <f>VLOOKUP(G49,全部!C:M,11,FALSE)</f>
        <v>4520000</v>
      </c>
      <c r="J49" s="4">
        <f t="shared" si="0"/>
        <v>0</v>
      </c>
      <c r="K49" s="4">
        <f>VLOOKUP(计算!G49,全部!C:N,12,FALSE)</f>
        <v>0</v>
      </c>
      <c r="L49" s="5">
        <f>VLOOKUP(G49,全部!C:P,14,FALSE)</f>
        <v>0</v>
      </c>
      <c r="M49" s="5">
        <f>VLOOKUP(G49,全部!C:V,20,FALSE)*100</f>
        <v>3.5999999999999996</v>
      </c>
      <c r="N49" s="6">
        <f>VLOOKUP(G49,全部!C:W,21,FALSE)</f>
        <v>162720</v>
      </c>
      <c r="O49" s="4">
        <f>VLOOKUP(G49,全部!C:X,22,FALSE)</f>
        <v>162720</v>
      </c>
      <c r="P49" s="4">
        <f>VLOOKUP(G49,全部!C:Y,23,FALSE)</f>
        <v>162720</v>
      </c>
      <c r="Q49" s="6">
        <f>VLOOKUP(G49,全部!C:Z,24,FALSE)</f>
        <v>0</v>
      </c>
      <c r="R49" s="7">
        <f>VLOOKUP(G49,全部!C:AA,25,FALSE)</f>
        <v>4395540.75</v>
      </c>
      <c r="S49" s="7">
        <f>VLOOKUP(G49,全部!C:AB,26,FALSE)</f>
        <v>4395540.75</v>
      </c>
      <c r="T49" s="4">
        <f>VLOOKUP(计算!G49,全部!C:AC,27,FALSE)</f>
        <v>3616000</v>
      </c>
      <c r="U49" s="4">
        <f>VLOOKUP(G49,全部!C:AD,28,FALSE)</f>
        <v>3616000</v>
      </c>
      <c r="V49" s="6">
        <f>VLOOKUP(G49,全部!C:AE,29,FALSE)</f>
        <v>0.8</v>
      </c>
      <c r="W49" s="4">
        <f>VLOOKUP(G49,全部!C:AF,30,FALSE)</f>
        <v>3533736</v>
      </c>
      <c r="X49" s="4">
        <f>VLOOKUP(G49,全部!C:AG,31,FALSE)</f>
        <v>3533736</v>
      </c>
      <c r="Y49" s="4">
        <f>VLOOKUP(计算!G49,全部!C:AH,32,FALSE)</f>
        <v>3616000</v>
      </c>
      <c r="Z49" s="4">
        <f>VLOOKUP(G49,全部!C:AL,36,FALSE)</f>
        <v>3616000</v>
      </c>
      <c r="AA49" s="4">
        <f>VLOOKUP(G49,全部!C:AM,37,FALSE)</f>
        <v>3.4000000000000002E-2</v>
      </c>
      <c r="AB49" s="6">
        <f>VLOOKUP(G49,全部!C:AN,38,FALSE)</f>
        <v>149448.3855</v>
      </c>
      <c r="AC49" s="4">
        <f>VLOOKUP(G49,全部!C:AO,39,FALSE)</f>
        <v>149448</v>
      </c>
      <c r="AD49" s="4">
        <f>VLOOKUP(G49,全部!C:AP,40,FALSE)</f>
        <v>149448</v>
      </c>
      <c r="AE49" s="6">
        <f>VLOOKUP(G49,全部!C:AQ,41,FALSE)</f>
        <v>0</v>
      </c>
      <c r="AF49" s="4">
        <f>VLOOKUP(G49,全部!C:AR,42,FALSE)</f>
        <v>0</v>
      </c>
      <c r="AG49" s="7">
        <f>VLOOKUP(G49,全部!C:AS,43,FALSE)</f>
        <v>0</v>
      </c>
      <c r="AH49" s="64" t="str">
        <f>IF(VLOOKUP(G49,全部!C:AT,44,FALSE)=0,"",VLOOKUP(G49,全部!C:AT,44,FALSE))</f>
        <v/>
      </c>
      <c r="AI49">
        <v>0</v>
      </c>
      <c r="AJ49" s="3">
        <v>41912.686249999999</v>
      </c>
      <c r="AK49" s="2" t="s">
        <v>2182</v>
      </c>
    </row>
    <row r="50" spans="1:37" x14ac:dyDescent="0.15">
      <c r="A50" s="2" t="s">
        <v>2181</v>
      </c>
      <c r="B50">
        <v>593</v>
      </c>
      <c r="C50" s="3">
        <v>41113</v>
      </c>
      <c r="D50" s="2" t="s">
        <v>37</v>
      </c>
      <c r="E50" s="2" t="s">
        <v>2180</v>
      </c>
      <c r="F50" s="2" t="s">
        <v>38</v>
      </c>
      <c r="G50" s="2" t="s">
        <v>139</v>
      </c>
      <c r="H50" s="2" t="s">
        <v>140</v>
      </c>
      <c r="I50" s="4">
        <f>VLOOKUP(G50,全部!C:M,11,FALSE)</f>
        <v>8171765</v>
      </c>
      <c r="J50" s="4">
        <f t="shared" si="0"/>
        <v>0</v>
      </c>
      <c r="K50" s="4">
        <f>VLOOKUP(计算!G50,全部!C:N,12,FALSE)</f>
        <v>0</v>
      </c>
      <c r="L50" s="5">
        <f>VLOOKUP(G50,全部!C:P,14,FALSE)</f>
        <v>0</v>
      </c>
      <c r="M50" s="5">
        <f>VLOOKUP(G50,全部!C:V,20,FALSE)*100</f>
        <v>3</v>
      </c>
      <c r="N50" s="6">
        <f>VLOOKUP(G50,全部!C:W,21,FALSE)</f>
        <v>245152.94999999998</v>
      </c>
      <c r="O50" s="4">
        <f>VLOOKUP(G50,全部!C:X,22,FALSE)</f>
        <v>245153</v>
      </c>
      <c r="P50" s="4">
        <f>VLOOKUP(G50,全部!C:Y,23,FALSE)</f>
        <v>245153</v>
      </c>
      <c r="Q50" s="6">
        <f>VLOOKUP(G50,全部!C:Z,24,FALSE)</f>
        <v>0</v>
      </c>
      <c r="R50" s="7">
        <f>VLOOKUP(G50,全部!C:AA,25,FALSE)</f>
        <v>6000000</v>
      </c>
      <c r="S50" s="7">
        <f>VLOOKUP(G50,全部!C:AB,26,FALSE)</f>
        <v>6000000</v>
      </c>
      <c r="T50" s="4">
        <f>VLOOKUP(计算!G50,全部!C:AC,27,FALSE)</f>
        <v>6000000</v>
      </c>
      <c r="U50" s="4">
        <f>VLOOKUP(G50,全部!C:AD,28,FALSE)</f>
        <v>6000000</v>
      </c>
      <c r="V50" s="6">
        <f>VLOOKUP(G50,全部!C:AE,29,FALSE)</f>
        <v>0.73423550481444344</v>
      </c>
      <c r="W50" s="4">
        <f>VLOOKUP(G50,全部!C:AF,30,FALSE)</f>
        <v>5613614.3500000006</v>
      </c>
      <c r="X50" s="4">
        <f>VLOOKUP(G50,全部!C:AG,31,FALSE)</f>
        <v>5613614.3499999996</v>
      </c>
      <c r="Y50" s="4">
        <f>VLOOKUP(计算!G50,全部!C:AH,32,FALSE)</f>
        <v>5991760.6000000006</v>
      </c>
      <c r="Z50" s="4">
        <f>VLOOKUP(G50,全部!C:AL,36,FALSE)</f>
        <v>5991760.5999999996</v>
      </c>
      <c r="AA50" s="4">
        <f>VLOOKUP(G50,全部!C:AM,37,FALSE)</f>
        <v>3.4000000000000002E-2</v>
      </c>
      <c r="AB50" s="6">
        <f>VLOOKUP(G50,全部!C:AN,38,FALSE)</f>
        <v>204000.00000000003</v>
      </c>
      <c r="AC50" s="4">
        <f>VLOOKUP(G50,全部!C:AO,39,FALSE)</f>
        <v>204000</v>
      </c>
      <c r="AD50" s="4">
        <f>VLOOKUP(G50,全部!C:AP,40,FALSE)</f>
        <v>204000</v>
      </c>
      <c r="AE50" s="6">
        <f>VLOOKUP(G50,全部!C:AQ,41,FALSE)</f>
        <v>0</v>
      </c>
      <c r="AF50" s="4">
        <f>VLOOKUP(G50,全部!C:AR,42,FALSE)</f>
        <v>0</v>
      </c>
      <c r="AG50" s="7">
        <f>VLOOKUP(G50,全部!C:AS,43,FALSE)</f>
        <v>100</v>
      </c>
      <c r="AH50" s="64" t="str">
        <f>IF(VLOOKUP(G50,全部!C:AT,44,FALSE)=0,"",VLOOKUP(G50,全部!C:AT,44,FALSE))</f>
        <v>管庄</v>
      </c>
      <c r="AI50">
        <v>0</v>
      </c>
      <c r="AJ50" s="3">
        <v>41912.686261574097</v>
      </c>
      <c r="AK50" s="2" t="s">
        <v>2179</v>
      </c>
    </row>
    <row r="51" spans="1:37" x14ac:dyDescent="0.15">
      <c r="A51" s="2" t="s">
        <v>2178</v>
      </c>
      <c r="B51">
        <v>554</v>
      </c>
      <c r="C51" s="3">
        <v>41117</v>
      </c>
      <c r="D51" s="2" t="s">
        <v>37</v>
      </c>
      <c r="E51" s="2" t="s">
        <v>2177</v>
      </c>
      <c r="F51" s="2" t="s">
        <v>38</v>
      </c>
      <c r="G51" s="2" t="s">
        <v>141</v>
      </c>
      <c r="H51" s="2" t="s">
        <v>142</v>
      </c>
      <c r="I51" s="4">
        <f>VLOOKUP(G51,全部!C:M,11,FALSE)</f>
        <v>328000</v>
      </c>
      <c r="J51" s="4">
        <f t="shared" si="0"/>
        <v>34031</v>
      </c>
      <c r="K51" s="4">
        <f>VLOOKUP(计算!G51,全部!C:N,12,FALSE)</f>
        <v>34031</v>
      </c>
      <c r="L51" s="5">
        <f>VLOOKUP(G51,全部!C:P,14,FALSE)</f>
        <v>0</v>
      </c>
      <c r="M51" s="5">
        <f>VLOOKUP(G51,全部!C:V,20,FALSE)*100</f>
        <v>3.5999999999999996</v>
      </c>
      <c r="N51" s="6">
        <f>VLOOKUP(G51,全部!C:W,21,FALSE)</f>
        <v>13033.115999999998</v>
      </c>
      <c r="O51" s="4">
        <f>VLOOKUP(G51,全部!C:X,22,FALSE)</f>
        <v>13033</v>
      </c>
      <c r="P51" s="4">
        <f>VLOOKUP(G51,全部!C:Y,23,FALSE)</f>
        <v>13033</v>
      </c>
      <c r="Q51" s="6">
        <f>VLOOKUP(G51,全部!C:Z,24,FALSE)</f>
        <v>0</v>
      </c>
      <c r="R51" s="7">
        <f>VLOOKUP(G51,全部!C:AA,25,FALSE)</f>
        <v>343930</v>
      </c>
      <c r="S51" s="7">
        <f>VLOOKUP(G51,全部!C:AB,26,FALSE)</f>
        <v>343930</v>
      </c>
      <c r="T51" s="4">
        <f>VLOOKUP(计算!G51,全部!C:AC,27,FALSE)</f>
        <v>343930</v>
      </c>
      <c r="U51" s="4">
        <f>VLOOKUP(G51,全部!C:AD,28,FALSE)</f>
        <v>343930</v>
      </c>
      <c r="V51" s="6">
        <f>VLOOKUP(G51,全部!C:AE,29,FALSE)</f>
        <v>0.95000151920691878</v>
      </c>
      <c r="W51" s="4">
        <f>VLOOKUP(G51,全部!C:AF,30,FALSE)</f>
        <v>114435.82</v>
      </c>
      <c r="X51" s="4">
        <f>VLOOKUP(G51,全部!C:AG,31,FALSE)</f>
        <v>114435.82</v>
      </c>
      <c r="Y51" s="4">
        <f>VLOOKUP(计算!G51,全部!C:AH,32,FALSE)</f>
        <v>339814</v>
      </c>
      <c r="Z51" s="4">
        <f>VLOOKUP(G51,全部!C:AL,36,FALSE)</f>
        <v>339814</v>
      </c>
      <c r="AA51" s="4">
        <f>VLOOKUP(G51,全部!C:AM,37,FALSE)</f>
        <v>3.4000000000000002E-2</v>
      </c>
      <c r="AB51" s="6">
        <f>VLOOKUP(G51,全部!C:AN,38,FALSE)</f>
        <v>11693.62</v>
      </c>
      <c r="AC51" s="4">
        <f>VLOOKUP(G51,全部!C:AO,39,FALSE)</f>
        <v>11693</v>
      </c>
      <c r="AD51" s="4">
        <f>VLOOKUP(G51,全部!C:AP,40,FALSE)</f>
        <v>11693</v>
      </c>
      <c r="AE51" s="6">
        <f>VLOOKUP(G51,全部!C:AQ,41,FALSE)</f>
        <v>0</v>
      </c>
      <c r="AF51" s="4">
        <f>VLOOKUP(G51,全部!C:AR,42,FALSE)</f>
        <v>0</v>
      </c>
      <c r="AG51" s="7">
        <f>VLOOKUP(G51,全部!C:AS,43,FALSE)</f>
        <v>4</v>
      </c>
      <c r="AH51" s="64" t="str">
        <f>IF(VLOOKUP(G51,全部!C:AT,44,FALSE)=0,"",VLOOKUP(G51,全部!C:AT,44,FALSE))</f>
        <v>管庄</v>
      </c>
      <c r="AI51">
        <v>0</v>
      </c>
      <c r="AJ51" s="3">
        <v>41912.686249999999</v>
      </c>
      <c r="AK51" s="2" t="s">
        <v>2176</v>
      </c>
    </row>
    <row r="52" spans="1:37" x14ac:dyDescent="0.15">
      <c r="A52" s="2" t="s">
        <v>2175</v>
      </c>
      <c r="B52">
        <v>59</v>
      </c>
      <c r="C52" s="3">
        <v>41122</v>
      </c>
      <c r="D52" s="2" t="s">
        <v>37</v>
      </c>
      <c r="E52" s="2" t="s">
        <v>2174</v>
      </c>
      <c r="F52" s="2" t="s">
        <v>41</v>
      </c>
      <c r="G52" s="2" t="s">
        <v>143</v>
      </c>
      <c r="H52" s="2" t="s">
        <v>144</v>
      </c>
      <c r="I52" s="4">
        <f>VLOOKUP(G52,全部!C:M,11,FALSE)</f>
        <v>10343049.93</v>
      </c>
      <c r="J52" s="4">
        <f t="shared" si="0"/>
        <v>0</v>
      </c>
      <c r="K52" s="4">
        <f>VLOOKUP(计算!G52,全部!C:N,12,FALSE)</f>
        <v>0</v>
      </c>
      <c r="L52" s="5">
        <f>VLOOKUP(G52,全部!C:P,14,FALSE)</f>
        <v>0</v>
      </c>
      <c r="M52" s="5">
        <f>VLOOKUP(G52,全部!C:V,20,FALSE)*100</f>
        <v>3.5000000000000004</v>
      </c>
      <c r="N52" s="6">
        <f>VLOOKUP(G52,全部!C:W,21,FALSE)</f>
        <v>362006.74755000003</v>
      </c>
      <c r="O52" s="4">
        <f>VLOOKUP(G52,全部!C:X,22,FALSE)</f>
        <v>362006.75</v>
      </c>
      <c r="P52" s="4">
        <f>VLOOKUP(G52,全部!C:Y,23,FALSE)</f>
        <v>362006.75</v>
      </c>
      <c r="Q52" s="6">
        <f>VLOOKUP(G52,全部!C:Z,24,FALSE)</f>
        <v>-2.4499999708496034E-3</v>
      </c>
      <c r="R52" s="7">
        <f>VLOOKUP(G52,全部!C:AA,25,FALSE)</f>
        <v>0</v>
      </c>
      <c r="S52" s="7">
        <f>VLOOKUP(G52,全部!C:AB,26,FALSE)</f>
        <v>0</v>
      </c>
      <c r="T52" s="4">
        <f>VLOOKUP(计算!G52,全部!C:AC,27,FALSE)</f>
        <v>7860688.0099999998</v>
      </c>
      <c r="U52" s="4">
        <f>VLOOKUP(G52,全部!C:AD,28,FALSE)</f>
        <v>7860688.0099999998</v>
      </c>
      <c r="V52" s="6">
        <f>VLOOKUP(G52,全部!C:AE,29,FALSE)</f>
        <v>0.75999710561196143</v>
      </c>
      <c r="W52" s="4">
        <f>VLOOKUP(G52,全部!C:AF,30,FALSE)</f>
        <v>0</v>
      </c>
      <c r="X52" s="4">
        <f>VLOOKUP(G52,全部!C:AG,31,FALSE)</f>
        <v>0</v>
      </c>
      <c r="Y52" s="4">
        <f>VLOOKUP(计算!G52,全部!C:AH,32,FALSE)</f>
        <v>7748729.1299999999</v>
      </c>
      <c r="Z52" s="4">
        <f>VLOOKUP(G52,全部!C:AL,36,FALSE)</f>
        <v>7748729.1299999999</v>
      </c>
      <c r="AA52" s="4">
        <f>VLOOKUP(G52,全部!C:AM,37,FALSE)</f>
        <v>3.4000000000000002E-2</v>
      </c>
      <c r="AB52" s="6">
        <f>VLOOKUP(G52,全部!C:AN,38,FALSE)</f>
        <v>351663.69761999999</v>
      </c>
      <c r="AC52" s="4">
        <f>VLOOKUP(G52,全部!C:AO,39,FALSE)</f>
        <v>111118.8</v>
      </c>
      <c r="AD52" s="4">
        <f>VLOOKUP(G52,全部!C:AP,40,FALSE)</f>
        <v>111118.8</v>
      </c>
      <c r="AE52" s="6">
        <f>VLOOKUP(G52,全部!C:AQ,41,FALSE)</f>
        <v>240544.89762</v>
      </c>
      <c r="AF52" s="4">
        <f>VLOOKUP(G52,全部!C:AR,42,FALSE)</f>
        <v>0</v>
      </c>
      <c r="AG52" s="7">
        <f>VLOOKUP(G52,全部!C:AS,43,FALSE)</f>
        <v>0</v>
      </c>
      <c r="AH52" s="64" t="str">
        <f>IF(VLOOKUP(G52,全部!C:AT,44,FALSE)=0,"",VLOOKUP(G52,全部!C:AT,44,FALSE))</f>
        <v/>
      </c>
      <c r="AI52">
        <v>0</v>
      </c>
      <c r="AJ52" s="3">
        <v>41912.6862384259</v>
      </c>
      <c r="AK52" s="2" t="s">
        <v>2173</v>
      </c>
    </row>
    <row r="53" spans="1:37" x14ac:dyDescent="0.15">
      <c r="A53" s="2" t="s">
        <v>2172</v>
      </c>
      <c r="B53">
        <v>601</v>
      </c>
      <c r="C53" s="3">
        <v>41128</v>
      </c>
      <c r="D53" s="2" t="s">
        <v>37</v>
      </c>
      <c r="E53" s="2" t="s">
        <v>2171</v>
      </c>
      <c r="F53" s="2" t="s">
        <v>38</v>
      </c>
      <c r="G53" s="2" t="s">
        <v>145</v>
      </c>
      <c r="H53" s="2" t="s">
        <v>146</v>
      </c>
      <c r="I53" s="4">
        <f>VLOOKUP(G53,全部!C:M,11,FALSE)</f>
        <v>5170956.9400000004</v>
      </c>
      <c r="J53" s="4">
        <f t="shared" si="0"/>
        <v>0</v>
      </c>
      <c r="K53" s="4">
        <f>VLOOKUP(计算!G53,全部!C:N,12,FALSE)</f>
        <v>0</v>
      </c>
      <c r="L53" s="5">
        <f>VLOOKUP(G53,全部!C:P,14,FALSE)</f>
        <v>0</v>
      </c>
      <c r="M53" s="5">
        <f>VLOOKUP(G53,全部!C:V,20,FALSE)*100</f>
        <v>3</v>
      </c>
      <c r="N53" s="6">
        <f>VLOOKUP(G53,全部!C:W,21,FALSE)</f>
        <v>155128.70819999999</v>
      </c>
      <c r="O53" s="4">
        <f>VLOOKUP(G53,全部!C:X,22,FALSE)</f>
        <v>155129</v>
      </c>
      <c r="P53" s="4">
        <f>VLOOKUP(G53,全部!C:Y,23,FALSE)</f>
        <v>155129</v>
      </c>
      <c r="Q53" s="6">
        <f>VLOOKUP(G53,全部!C:Z,24,FALSE)</f>
        <v>0</v>
      </c>
      <c r="R53" s="7">
        <f>VLOOKUP(G53,全部!C:AA,25,FALSE)</f>
        <v>4912409.09</v>
      </c>
      <c r="S53" s="7">
        <f>VLOOKUP(G53,全部!C:AB,26,FALSE)</f>
        <v>4912409.09</v>
      </c>
      <c r="T53" s="4">
        <f>VLOOKUP(计算!G53,全部!C:AC,27,FALSE)</f>
        <v>4912409.09</v>
      </c>
      <c r="U53" s="4">
        <f>VLOOKUP(G53,全部!C:AD,28,FALSE)</f>
        <v>4912409.09</v>
      </c>
      <c r="V53" s="6">
        <f>VLOOKUP(G53,全部!C:AE,29,FALSE)</f>
        <v>0.94999999941983648</v>
      </c>
      <c r="W53" s="4">
        <f>VLOOKUP(G53,全部!C:AF,30,FALSE)</f>
        <v>4676282.45</v>
      </c>
      <c r="X53" s="4">
        <f>VLOOKUP(G53,全部!C:AG,31,FALSE)</f>
        <v>4676282.45</v>
      </c>
      <c r="Y53" s="4">
        <f>VLOOKUP(计算!G53,全部!C:AH,32,FALSE)</f>
        <v>4902104.45</v>
      </c>
      <c r="Z53" s="4">
        <f>VLOOKUP(G53,全部!C:AL,36,FALSE)</f>
        <v>4902104.45</v>
      </c>
      <c r="AA53" s="4">
        <f>VLOOKUP(G53,全部!C:AM,37,FALSE)</f>
        <v>3.4000000000000002E-2</v>
      </c>
      <c r="AB53" s="6">
        <f>VLOOKUP(G53,全部!C:AN,38,FALSE)</f>
        <v>167021.90906000001</v>
      </c>
      <c r="AC53" s="4">
        <f>VLOOKUP(G53,全部!C:AO,39,FALSE)</f>
        <v>167022</v>
      </c>
      <c r="AD53" s="4">
        <f>VLOOKUP(G53,全部!C:AP,40,FALSE)</f>
        <v>167022</v>
      </c>
      <c r="AE53" s="6">
        <f>VLOOKUP(G53,全部!C:AQ,41,FALSE)</f>
        <v>0</v>
      </c>
      <c r="AF53" s="4">
        <f>VLOOKUP(G53,全部!C:AR,42,FALSE)</f>
        <v>0</v>
      </c>
      <c r="AG53" s="7">
        <f>VLOOKUP(G53,全部!C:AS,43,FALSE)</f>
        <v>16</v>
      </c>
      <c r="AH53" s="64" t="str">
        <f>IF(VLOOKUP(G53,全部!C:AT,44,FALSE)=0,"",VLOOKUP(G53,全部!C:AT,44,FALSE))</f>
        <v>亦庄</v>
      </c>
      <c r="AI53">
        <v>0</v>
      </c>
      <c r="AJ53" s="3">
        <v>41912.686261574097</v>
      </c>
      <c r="AK53" s="2" t="s">
        <v>2170</v>
      </c>
    </row>
    <row r="54" spans="1:37" x14ac:dyDescent="0.15">
      <c r="A54" s="2" t="s">
        <v>2169</v>
      </c>
      <c r="B54">
        <v>612</v>
      </c>
      <c r="C54" s="3">
        <v>41130</v>
      </c>
      <c r="D54" s="2" t="s">
        <v>37</v>
      </c>
      <c r="E54" s="2" t="s">
        <v>2168</v>
      </c>
      <c r="F54" s="2" t="s">
        <v>38</v>
      </c>
      <c r="G54" s="2" t="s">
        <v>147</v>
      </c>
      <c r="H54" s="2" t="s">
        <v>148</v>
      </c>
      <c r="I54" s="4">
        <f>VLOOKUP(G54,全部!C:M,11,FALSE)</f>
        <v>7737463.3499999996</v>
      </c>
      <c r="J54" s="4">
        <f t="shared" si="0"/>
        <v>0</v>
      </c>
      <c r="K54" s="4">
        <f>VLOOKUP(计算!G54,全部!C:N,12,FALSE)</f>
        <v>0</v>
      </c>
      <c r="L54" s="5">
        <f>VLOOKUP(G54,全部!C:P,14,FALSE)</f>
        <v>0</v>
      </c>
      <c r="M54" s="5">
        <f>VLOOKUP(G54,全部!C:V,20,FALSE)*100</f>
        <v>3</v>
      </c>
      <c r="N54" s="6">
        <f>VLOOKUP(G54,全部!C:W,21,FALSE)</f>
        <v>232123.90049999999</v>
      </c>
      <c r="O54" s="4">
        <f>VLOOKUP(G54,全部!C:X,22,FALSE)</f>
        <v>232124</v>
      </c>
      <c r="P54" s="4">
        <f>VLOOKUP(G54,全部!C:Y,23,FALSE)</f>
        <v>232124</v>
      </c>
      <c r="Q54" s="6">
        <f>VLOOKUP(G54,全部!C:Z,24,FALSE)</f>
        <v>0</v>
      </c>
      <c r="R54" s="7">
        <f>VLOOKUP(G54,全部!C:AA,25,FALSE)</f>
        <v>7737463.3599999994</v>
      </c>
      <c r="S54" s="7">
        <f>VLOOKUP(G54,全部!C:AB,26,FALSE)</f>
        <v>7737463.3600000003</v>
      </c>
      <c r="T54" s="4">
        <f>VLOOKUP(计算!G54,全部!C:AC,27,FALSE)</f>
        <v>7737463.3599999994</v>
      </c>
      <c r="U54" s="4">
        <f>VLOOKUP(G54,全部!C:AD,28,FALSE)</f>
        <v>7737463.3600000003</v>
      </c>
      <c r="V54" s="6">
        <f>VLOOKUP(G54,全部!C:AE,29,FALSE)</f>
        <v>1.0000000012924133</v>
      </c>
      <c r="W54" s="4">
        <f>VLOOKUP(G54,全部!C:AF,30,FALSE)</f>
        <v>6908727.1100000003</v>
      </c>
      <c r="X54" s="4">
        <f>VLOOKUP(G54,全部!C:AG,31,FALSE)</f>
        <v>6908727.1100000003</v>
      </c>
      <c r="Y54" s="4">
        <f>VLOOKUP(计算!G54,全部!C:AH,32,FALSE)</f>
        <v>7736045.21</v>
      </c>
      <c r="Z54" s="4">
        <f>VLOOKUP(G54,全部!C:AL,36,FALSE)</f>
        <v>7737228.21</v>
      </c>
      <c r="AA54" s="4">
        <f>VLOOKUP(G54,全部!C:AM,37,FALSE)</f>
        <v>3.4000000000000002E-2</v>
      </c>
      <c r="AB54" s="6">
        <f>VLOOKUP(G54,全部!C:AN,38,FALSE)</f>
        <v>263073.75424000004</v>
      </c>
      <c r="AC54" s="4">
        <f>VLOOKUP(G54,全部!C:AO,39,FALSE)</f>
        <v>263074</v>
      </c>
      <c r="AD54" s="4">
        <f>VLOOKUP(G54,全部!C:AP,40,FALSE)</f>
        <v>263074</v>
      </c>
      <c r="AE54" s="6">
        <f>VLOOKUP(G54,全部!C:AQ,41,FALSE)</f>
        <v>0</v>
      </c>
      <c r="AF54" s="4">
        <f>VLOOKUP(G54,全部!C:AR,42,FALSE)</f>
        <v>0</v>
      </c>
      <c r="AG54" s="7">
        <f>VLOOKUP(G54,全部!C:AS,43,FALSE)</f>
        <v>10</v>
      </c>
      <c r="AH54" s="64" t="str">
        <f>IF(VLOOKUP(G54,全部!C:AT,44,FALSE)=0,"",VLOOKUP(G54,全部!C:AT,44,FALSE))</f>
        <v>管庄</v>
      </c>
      <c r="AI54">
        <v>0</v>
      </c>
      <c r="AJ54" s="3">
        <v>41912.686261574097</v>
      </c>
      <c r="AK54" s="2" t="s">
        <v>2167</v>
      </c>
    </row>
    <row r="55" spans="1:37" x14ac:dyDescent="0.15">
      <c r="A55" s="2" t="s">
        <v>2166</v>
      </c>
      <c r="B55">
        <v>620</v>
      </c>
      <c r="C55" s="3">
        <v>41130</v>
      </c>
      <c r="D55" s="2" t="s">
        <v>37</v>
      </c>
      <c r="E55" s="2" t="s">
        <v>2165</v>
      </c>
      <c r="F55" s="2" t="s">
        <v>38</v>
      </c>
      <c r="G55" s="2" t="s">
        <v>149</v>
      </c>
      <c r="H55" s="2" t="s">
        <v>150</v>
      </c>
      <c r="I55" s="4">
        <f>VLOOKUP(G55,全部!C:M,11,FALSE)</f>
        <v>1615034.9</v>
      </c>
      <c r="J55" s="4">
        <f t="shared" si="0"/>
        <v>20970833.399999999</v>
      </c>
      <c r="K55" s="4">
        <f>VLOOKUP(计算!G55,全部!C:N,12,FALSE)</f>
        <v>20970833.399999999</v>
      </c>
      <c r="L55" s="5">
        <f>VLOOKUP(G55,全部!C:P,14,FALSE)</f>
        <v>0</v>
      </c>
      <c r="M55" s="5">
        <f>VLOOKUP(G55,全部!C:V,20,FALSE)*100</f>
        <v>3</v>
      </c>
      <c r="N55" s="6">
        <f>VLOOKUP(G55,全部!C:W,21,FALSE)</f>
        <v>677576.04899999988</v>
      </c>
      <c r="O55" s="4">
        <f>VLOOKUP(G55,全部!C:X,22,FALSE)</f>
        <v>677576</v>
      </c>
      <c r="P55" s="4">
        <f>VLOOKUP(G55,全部!C:Y,23,FALSE)</f>
        <v>677576</v>
      </c>
      <c r="Q55" s="6">
        <f>VLOOKUP(G55,全部!C:Z,24,FALSE)</f>
        <v>0</v>
      </c>
      <c r="R55" s="7">
        <f>VLOOKUP(G55,全部!C:AA,25,FALSE)</f>
        <v>19750000</v>
      </c>
      <c r="S55" s="7">
        <f>VLOOKUP(G55,全部!C:AB,26,FALSE)</f>
        <v>19750000</v>
      </c>
      <c r="T55" s="4">
        <f>VLOOKUP(计算!G55,全部!C:AC,27,FALSE)</f>
        <v>18850000</v>
      </c>
      <c r="U55" s="4">
        <f>VLOOKUP(G55,全部!C:AD,28,FALSE)</f>
        <v>18850000</v>
      </c>
      <c r="V55" s="6">
        <f>VLOOKUP(G55,全部!C:AE,29,FALSE)</f>
        <v>0.83459266429885282</v>
      </c>
      <c r="W55" s="4">
        <f>VLOOKUP(G55,全部!C:AF,30,FALSE)</f>
        <v>16568345.399999999</v>
      </c>
      <c r="X55" s="4">
        <f>VLOOKUP(G55,全部!C:AG,31,FALSE)</f>
        <v>16568345.4</v>
      </c>
      <c r="Y55" s="4">
        <f>VLOOKUP(计算!G55,全部!C:AH,32,FALSE)</f>
        <v>18818897.609999999</v>
      </c>
      <c r="Z55" s="4">
        <f>VLOOKUP(G55,全部!C:AL,36,FALSE)</f>
        <v>18818897.609999999</v>
      </c>
      <c r="AA55" s="4">
        <f>VLOOKUP(G55,全部!C:AM,37,FALSE)</f>
        <v>3.4000000000000002E-2</v>
      </c>
      <c r="AB55" s="6">
        <f>VLOOKUP(G55,全部!C:AN,38,FALSE)</f>
        <v>671500</v>
      </c>
      <c r="AC55" s="4">
        <f>VLOOKUP(G55,全部!C:AO,39,FALSE)</f>
        <v>671500</v>
      </c>
      <c r="AD55" s="4">
        <f>VLOOKUP(G55,全部!C:AP,40,FALSE)</f>
        <v>671500</v>
      </c>
      <c r="AE55" s="6">
        <f>VLOOKUP(G55,全部!C:AQ,41,FALSE)</f>
        <v>0</v>
      </c>
      <c r="AF55" s="4">
        <f>VLOOKUP(G55,全部!C:AR,42,FALSE)</f>
        <v>0</v>
      </c>
      <c r="AG55" s="7">
        <f>VLOOKUP(G55,全部!C:AS,43,FALSE)</f>
        <v>0</v>
      </c>
      <c r="AH55" s="64" t="str">
        <f>IF(VLOOKUP(G55,全部!C:AT,44,FALSE)=0,"",VLOOKUP(G55,全部!C:AT,44,FALSE))</f>
        <v/>
      </c>
      <c r="AI55">
        <v>0</v>
      </c>
      <c r="AJ55" s="3">
        <v>41912.686261574097</v>
      </c>
      <c r="AK55" s="2" t="s">
        <v>2164</v>
      </c>
    </row>
    <row r="56" spans="1:37" x14ac:dyDescent="0.15">
      <c r="A56" s="2" t="s">
        <v>2163</v>
      </c>
      <c r="B56">
        <v>64</v>
      </c>
      <c r="C56" s="3">
        <v>41153</v>
      </c>
      <c r="D56" s="2" t="s">
        <v>37</v>
      </c>
      <c r="E56" s="2" t="s">
        <v>2162</v>
      </c>
      <c r="F56" s="2" t="s">
        <v>41</v>
      </c>
      <c r="G56" s="2" t="s">
        <v>151</v>
      </c>
      <c r="H56" s="2" t="s">
        <v>152</v>
      </c>
      <c r="I56" s="4">
        <f>VLOOKUP(G56,全部!C:M,11,FALSE)</f>
        <v>10102313.33</v>
      </c>
      <c r="J56" s="4">
        <f t="shared" si="0"/>
        <v>0</v>
      </c>
      <c r="K56" s="4">
        <f>VLOOKUP(计算!G56,全部!C:N,12,FALSE)</f>
        <v>0</v>
      </c>
      <c r="L56" s="5">
        <f>VLOOKUP(G56,全部!C:P,14,FALSE)</f>
        <v>0</v>
      </c>
      <c r="M56" s="5">
        <f>VLOOKUP(G56,全部!C:V,20,FALSE)*100</f>
        <v>5</v>
      </c>
      <c r="N56" s="6">
        <f>VLOOKUP(G56,全部!C:W,21,FALSE)</f>
        <v>505115.66650000005</v>
      </c>
      <c r="O56" s="4">
        <f>VLOOKUP(G56,全部!C:X,22,FALSE)</f>
        <v>505116</v>
      </c>
      <c r="P56" s="4">
        <f>VLOOKUP(G56,全部!C:Y,23,FALSE)</f>
        <v>505116</v>
      </c>
      <c r="Q56" s="6">
        <f>VLOOKUP(G56,全部!C:Z,24,FALSE)</f>
        <v>-0.33349999994970858</v>
      </c>
      <c r="R56" s="7">
        <f>VLOOKUP(G56,全部!C:AA,25,FALSE)</f>
        <v>0</v>
      </c>
      <c r="S56" s="7">
        <f>VLOOKUP(G56,全部!C:AB,26,FALSE)</f>
        <v>0</v>
      </c>
      <c r="T56" s="4">
        <f>VLOOKUP(计算!G56,全部!C:AC,27,FALSE)</f>
        <v>8081848.8399999999</v>
      </c>
      <c r="U56" s="4">
        <f>VLOOKUP(G56,全部!C:AD,28,FALSE)</f>
        <v>8081848.8399999999</v>
      </c>
      <c r="V56" s="6">
        <f>VLOOKUP(G56,全部!C:AE,29,FALSE)</f>
        <v>0.79999981944729481</v>
      </c>
      <c r="W56" s="4">
        <f>VLOOKUP(G56,全部!C:AF,30,FALSE)</f>
        <v>0</v>
      </c>
      <c r="X56" s="4">
        <f>VLOOKUP(G56,全部!C:AG,31,FALSE)</f>
        <v>0</v>
      </c>
      <c r="Y56" s="4">
        <f>VLOOKUP(计算!G56,全部!C:AH,32,FALSE)</f>
        <v>7517811.9900000002</v>
      </c>
      <c r="Z56" s="4">
        <f>VLOOKUP(G56,全部!C:AL,36,FALSE)</f>
        <v>7517811.9900000002</v>
      </c>
      <c r="AA56" s="4">
        <f>VLOOKUP(G56,全部!C:AM,37,FALSE)</f>
        <v>0</v>
      </c>
      <c r="AB56" s="6">
        <f>VLOOKUP(G56,全部!C:AN,38,FALSE)</f>
        <v>0</v>
      </c>
      <c r="AC56" s="4">
        <f>VLOOKUP(G56,全部!C:AO,39,FALSE)</f>
        <v>306828.08</v>
      </c>
      <c r="AD56" s="4">
        <f>VLOOKUP(G56,全部!C:AP,40,FALSE)</f>
        <v>306828.08</v>
      </c>
      <c r="AE56" s="6">
        <f>VLOOKUP(G56,全部!C:AQ,41,FALSE)</f>
        <v>-306828.08</v>
      </c>
      <c r="AF56" s="4">
        <f>VLOOKUP(G56,全部!C:AR,42,FALSE)</f>
        <v>0</v>
      </c>
      <c r="AG56" s="7">
        <f>VLOOKUP(G56,全部!C:AS,43,FALSE)</f>
        <v>0</v>
      </c>
      <c r="AH56" s="64" t="str">
        <f>IF(VLOOKUP(G56,全部!C:AT,44,FALSE)=0,"",VLOOKUP(G56,全部!C:AT,44,FALSE))</f>
        <v/>
      </c>
      <c r="AI56">
        <v>0</v>
      </c>
      <c r="AJ56" s="3">
        <v>41912.6862384259</v>
      </c>
      <c r="AK56" s="2" t="s">
        <v>2161</v>
      </c>
    </row>
    <row r="57" spans="1:37" x14ac:dyDescent="0.15">
      <c r="A57" s="2" t="s">
        <v>2160</v>
      </c>
      <c r="B57">
        <v>628</v>
      </c>
      <c r="C57" s="3">
        <v>41155</v>
      </c>
      <c r="D57" s="2" t="s">
        <v>37</v>
      </c>
      <c r="E57" s="2" t="s">
        <v>2159</v>
      </c>
      <c r="F57" s="2" t="s">
        <v>38</v>
      </c>
      <c r="G57" s="2" t="s">
        <v>153</v>
      </c>
      <c r="H57" s="2" t="s">
        <v>154</v>
      </c>
      <c r="I57" s="4">
        <f>VLOOKUP(G57,全部!C:M,11,FALSE)</f>
        <v>20572132.07</v>
      </c>
      <c r="J57" s="4">
        <f t="shared" si="0"/>
        <v>0</v>
      </c>
      <c r="K57" s="4">
        <f>VLOOKUP(计算!G57,全部!C:N,12,FALSE)</f>
        <v>0</v>
      </c>
      <c r="L57" s="5">
        <f>VLOOKUP(G57,全部!C:P,14,FALSE)</f>
        <v>0</v>
      </c>
      <c r="M57" s="5">
        <f>VLOOKUP(G57,全部!C:V,20,FALSE)*100</f>
        <v>3</v>
      </c>
      <c r="N57" s="6">
        <f>VLOOKUP(G57,全部!C:W,21,FALSE)</f>
        <v>617163.9621</v>
      </c>
      <c r="O57" s="4">
        <f>VLOOKUP(G57,全部!C:X,22,FALSE)</f>
        <v>617164</v>
      </c>
      <c r="P57" s="4">
        <f>VLOOKUP(G57,全部!C:Y,23,FALSE)</f>
        <v>617164</v>
      </c>
      <c r="Q57" s="6">
        <f>VLOOKUP(G57,全部!C:Z,24,FALSE)</f>
        <v>0</v>
      </c>
      <c r="R57" s="7">
        <f>VLOOKUP(G57,全部!C:AA,25,FALSE)</f>
        <v>8450000</v>
      </c>
      <c r="S57" s="7">
        <f>VLOOKUP(G57,全部!C:AB,26,FALSE)</f>
        <v>8450000</v>
      </c>
      <c r="T57" s="4">
        <f>VLOOKUP(计算!G57,全部!C:AC,27,FALSE)</f>
        <v>11402300</v>
      </c>
      <c r="U57" s="4">
        <f>VLOOKUP(G57,全部!C:AD,28,FALSE)</f>
        <v>11402300</v>
      </c>
      <c r="V57" s="6">
        <f>VLOOKUP(G57,全部!C:AE,29,FALSE)</f>
        <v>0.55425951773991311</v>
      </c>
      <c r="W57" s="4">
        <f>VLOOKUP(G57,全部!C:AF,30,FALSE)</f>
        <v>9476128.4499999993</v>
      </c>
      <c r="X57" s="4">
        <f>VLOOKUP(G57,全部!C:AG,31,FALSE)</f>
        <v>9476128.4499999993</v>
      </c>
      <c r="Y57" s="4">
        <f>VLOOKUP(计算!G57,全部!C:AH,32,FALSE)</f>
        <v>10916099.67</v>
      </c>
      <c r="Z57" s="4">
        <f>VLOOKUP(G57,全部!C:AL,36,FALSE)</f>
        <v>10916099.67</v>
      </c>
      <c r="AA57" s="4">
        <f>VLOOKUP(G57,全部!C:AM,37,FALSE)</f>
        <v>3.4000000000000002E-2</v>
      </c>
      <c r="AB57" s="6">
        <f>VLOOKUP(G57,全部!C:AN,38,FALSE)</f>
        <v>287300</v>
      </c>
      <c r="AC57" s="4">
        <f>VLOOKUP(G57,全部!C:AO,39,FALSE)</f>
        <v>287300</v>
      </c>
      <c r="AD57" s="4">
        <f>VLOOKUP(G57,全部!C:AP,40,FALSE)</f>
        <v>287300</v>
      </c>
      <c r="AE57" s="6">
        <f>VLOOKUP(G57,全部!C:AQ,41,FALSE)</f>
        <v>0</v>
      </c>
      <c r="AF57" s="4">
        <f>VLOOKUP(G57,全部!C:AR,42,FALSE)</f>
        <v>0</v>
      </c>
      <c r="AG57" s="7">
        <f>VLOOKUP(G57,全部!C:AS,43,FALSE)</f>
        <v>55</v>
      </c>
      <c r="AH57" s="64" t="str">
        <f>IF(VLOOKUP(G57,全部!C:AT,44,FALSE)=0,"",VLOOKUP(G57,全部!C:AT,44,FALSE))</f>
        <v>管庄</v>
      </c>
      <c r="AI57">
        <v>0</v>
      </c>
      <c r="AJ57" s="3">
        <v>41912.686261574097</v>
      </c>
      <c r="AK57" s="2" t="s">
        <v>2158</v>
      </c>
    </row>
    <row r="58" spans="1:37" x14ac:dyDescent="0.15">
      <c r="A58" s="2" t="s">
        <v>2157</v>
      </c>
      <c r="B58">
        <v>637</v>
      </c>
      <c r="C58" s="3">
        <v>41155</v>
      </c>
      <c r="D58" s="2" t="s">
        <v>37</v>
      </c>
      <c r="E58" s="2" t="s">
        <v>2156</v>
      </c>
      <c r="F58" s="2" t="s">
        <v>38</v>
      </c>
      <c r="G58" s="2" t="s">
        <v>155</v>
      </c>
      <c r="H58" s="2" t="s">
        <v>156</v>
      </c>
      <c r="I58" s="4">
        <f>VLOOKUP(G58,全部!C:M,11,FALSE)</f>
        <v>500000</v>
      </c>
      <c r="J58" s="4">
        <f t="shared" si="0"/>
        <v>1680151.0899999999</v>
      </c>
      <c r="K58" s="4">
        <f>VLOOKUP(计算!G58,全部!C:N,12,FALSE)</f>
        <v>1680151.0899999999</v>
      </c>
      <c r="L58" s="5">
        <f>VLOOKUP(G58,全部!C:P,14,FALSE)</f>
        <v>0</v>
      </c>
      <c r="M58" s="5">
        <f>VLOOKUP(G58,全部!C:V,20,FALSE)*100</f>
        <v>3</v>
      </c>
      <c r="N58" s="6">
        <f>VLOOKUP(G58,全部!C:W,21,FALSE)</f>
        <v>65404.532699999996</v>
      </c>
      <c r="O58" s="4">
        <f>VLOOKUP(G58,全部!C:X,22,FALSE)</f>
        <v>65405</v>
      </c>
      <c r="P58" s="4">
        <f>VLOOKUP(G58,全部!C:Y,23,FALSE)</f>
        <v>65405</v>
      </c>
      <c r="Q58" s="6">
        <f>VLOOKUP(G58,全部!C:Z,24,FALSE)</f>
        <v>0</v>
      </c>
      <c r="R58" s="7">
        <f>VLOOKUP(G58,全部!C:AA,25,FALSE)</f>
        <v>1736110.48</v>
      </c>
      <c r="S58" s="7">
        <f>VLOOKUP(G58,全部!C:AB,26,FALSE)</f>
        <v>1736110.48</v>
      </c>
      <c r="T58" s="4">
        <f>VLOOKUP(计算!G58,全部!C:AC,27,FALSE)</f>
        <v>1681703.26</v>
      </c>
      <c r="U58" s="4">
        <f>VLOOKUP(G58,全部!C:AD,28,FALSE)</f>
        <v>1681703.26</v>
      </c>
      <c r="V58" s="6">
        <f>VLOOKUP(G58,全部!C:AE,29,FALSE)</f>
        <v>0.77137005215542198</v>
      </c>
      <c r="W58" s="4">
        <f>VLOOKUP(G58,全部!C:AF,30,FALSE)</f>
        <v>1289913.1599999999</v>
      </c>
      <c r="X58" s="4">
        <f>VLOOKUP(G58,全部!C:AG,31,FALSE)</f>
        <v>1289913.1599999999</v>
      </c>
      <c r="Y58" s="4">
        <f>VLOOKUP(计算!G58,全部!C:AH,32,FALSE)</f>
        <v>1348940.16</v>
      </c>
      <c r="Z58" s="4">
        <f>VLOOKUP(G58,全部!C:AL,36,FALSE)</f>
        <v>1348940.16</v>
      </c>
      <c r="AA58" s="4">
        <f>VLOOKUP(G58,全部!C:AM,37,FALSE)</f>
        <v>3.4000000000000002E-2</v>
      </c>
      <c r="AB58" s="6">
        <f>VLOOKUP(G58,全部!C:AN,38,FALSE)</f>
        <v>59027.75632</v>
      </c>
      <c r="AC58" s="4">
        <f>VLOOKUP(G58,全部!C:AO,39,FALSE)</f>
        <v>59027</v>
      </c>
      <c r="AD58" s="4">
        <f>VLOOKUP(G58,全部!C:AP,40,FALSE)</f>
        <v>59027</v>
      </c>
      <c r="AE58" s="6">
        <f>VLOOKUP(G58,全部!C:AQ,41,FALSE)</f>
        <v>0</v>
      </c>
      <c r="AF58" s="4">
        <f>VLOOKUP(G58,全部!C:AR,42,FALSE)</f>
        <v>0</v>
      </c>
      <c r="AG58" s="7">
        <f>VLOOKUP(G58,全部!C:AS,43,FALSE)</f>
        <v>63</v>
      </c>
      <c r="AH58" s="64" t="str">
        <f>IF(VLOOKUP(G58,全部!C:AT,44,FALSE)=0,"",VLOOKUP(G58,全部!C:AT,44,FALSE))</f>
        <v>管庄</v>
      </c>
      <c r="AI58">
        <v>0</v>
      </c>
      <c r="AJ58" s="3">
        <v>41912.686261574097</v>
      </c>
      <c r="AK58" s="2" t="s">
        <v>2155</v>
      </c>
    </row>
    <row r="59" spans="1:37" x14ac:dyDescent="0.15">
      <c r="A59" s="2" t="s">
        <v>2154</v>
      </c>
      <c r="B59">
        <v>648</v>
      </c>
      <c r="C59" s="3">
        <v>41172</v>
      </c>
      <c r="D59" s="2" t="s">
        <v>37</v>
      </c>
      <c r="E59" s="2" t="s">
        <v>2153</v>
      </c>
      <c r="F59" s="2" t="s">
        <v>38</v>
      </c>
      <c r="G59" s="2" t="s">
        <v>157</v>
      </c>
      <c r="H59" s="2" t="s">
        <v>158</v>
      </c>
      <c r="I59" s="4">
        <f>VLOOKUP(G59,全部!C:M,11,FALSE)</f>
        <v>7729248</v>
      </c>
      <c r="J59" s="4">
        <f t="shared" si="0"/>
        <v>364302</v>
      </c>
      <c r="K59" s="4">
        <f>VLOOKUP(计算!G59,全部!C:N,12,FALSE)</f>
        <v>364302</v>
      </c>
      <c r="L59" s="5">
        <f>VLOOKUP(G59,全部!C:P,14,FALSE)</f>
        <v>0</v>
      </c>
      <c r="M59" s="5">
        <f>VLOOKUP(G59,全部!C:V,20,FALSE)*100</f>
        <v>3</v>
      </c>
      <c r="N59" s="6">
        <f>VLOOKUP(G59,全部!C:W,21,FALSE)</f>
        <v>242806.5</v>
      </c>
      <c r="O59" s="4">
        <f>VLOOKUP(G59,全部!C:X,22,FALSE)</f>
        <v>242806</v>
      </c>
      <c r="P59" s="4">
        <f>VLOOKUP(G59,全部!C:Y,23,FALSE)</f>
        <v>242806</v>
      </c>
      <c r="Q59" s="6">
        <f>VLOOKUP(G59,全部!C:Z,24,FALSE)</f>
        <v>0</v>
      </c>
      <c r="R59" s="7">
        <f>VLOOKUP(G59,全部!C:AA,25,FALSE)</f>
        <v>5370000</v>
      </c>
      <c r="S59" s="7">
        <f>VLOOKUP(G59,全部!C:AB,26,FALSE)</f>
        <v>5370000</v>
      </c>
      <c r="T59" s="4">
        <f>VLOOKUP(计算!G59,全部!C:AC,27,FALSE)</f>
        <v>5370000</v>
      </c>
      <c r="U59" s="4">
        <f>VLOOKUP(G59,全部!C:AD,28,FALSE)</f>
        <v>5370000</v>
      </c>
      <c r="V59" s="6">
        <f>VLOOKUP(G59,全部!C:AE,29,FALSE)</f>
        <v>0.66349129862668421</v>
      </c>
      <c r="W59" s="4">
        <f>VLOOKUP(G59,全部!C:AF,30,FALSE)</f>
        <v>4906391</v>
      </c>
      <c r="X59" s="4">
        <f>VLOOKUP(G59,全部!C:AG,31,FALSE)</f>
        <v>4906391</v>
      </c>
      <c r="Y59" s="4">
        <f>VLOOKUP(计算!G59,全部!C:AH,32,FALSE)</f>
        <v>5097012.5</v>
      </c>
      <c r="Z59" s="4">
        <f>VLOOKUP(G59,全部!C:AL,36,FALSE)</f>
        <v>5098498</v>
      </c>
      <c r="AA59" s="4">
        <f>VLOOKUP(G59,全部!C:AM,37,FALSE)</f>
        <v>3.4000000000000002E-2</v>
      </c>
      <c r="AB59" s="6">
        <f>VLOOKUP(G59,全部!C:AN,38,FALSE)</f>
        <v>182580</v>
      </c>
      <c r="AC59" s="4">
        <f>VLOOKUP(G59,全部!C:AO,39,FALSE)</f>
        <v>173400</v>
      </c>
      <c r="AD59" s="4">
        <f>VLOOKUP(G59,全部!C:AP,40,FALSE)</f>
        <v>173400</v>
      </c>
      <c r="AE59" s="6">
        <f>VLOOKUP(G59,全部!C:AQ,41,FALSE)</f>
        <v>9180</v>
      </c>
      <c r="AF59" s="4">
        <f>VLOOKUP(G59,全部!C:AR,42,FALSE)</f>
        <v>0</v>
      </c>
      <c r="AG59" s="7">
        <f>VLOOKUP(G59,全部!C:AS,43,FALSE)</f>
        <v>50</v>
      </c>
      <c r="AH59" s="64" t="str">
        <f>IF(VLOOKUP(G59,全部!C:AT,44,FALSE)=0,"",VLOOKUP(G59,全部!C:AT,44,FALSE))</f>
        <v>昌平</v>
      </c>
      <c r="AI59">
        <v>0</v>
      </c>
      <c r="AJ59" s="3">
        <v>41912.686261574097</v>
      </c>
      <c r="AK59" s="2" t="s">
        <v>2152</v>
      </c>
    </row>
    <row r="60" spans="1:37" x14ac:dyDescent="0.15">
      <c r="A60" s="2" t="s">
        <v>2151</v>
      </c>
      <c r="B60">
        <v>69</v>
      </c>
      <c r="C60" s="3">
        <v>41183</v>
      </c>
      <c r="D60" s="2" t="s">
        <v>37</v>
      </c>
      <c r="E60" s="2" t="s">
        <v>2150</v>
      </c>
      <c r="F60" s="2" t="s">
        <v>41</v>
      </c>
      <c r="G60" s="2" t="s">
        <v>160</v>
      </c>
      <c r="H60" s="2" t="s">
        <v>161</v>
      </c>
      <c r="I60" s="4">
        <f>VLOOKUP(G60,全部!C:M,11,FALSE)</f>
        <v>5400000</v>
      </c>
      <c r="J60" s="4">
        <f t="shared" si="0"/>
        <v>0</v>
      </c>
      <c r="K60" s="4">
        <f>VLOOKUP(计算!G60,全部!C:N,12,FALSE)</f>
        <v>0</v>
      </c>
      <c r="L60" s="5">
        <f>VLOOKUP(G60,全部!C:P,14,FALSE)</f>
        <v>0</v>
      </c>
      <c r="M60" s="5">
        <f>VLOOKUP(G60,全部!C:V,20,FALSE)*100</f>
        <v>4</v>
      </c>
      <c r="N60" s="6">
        <f>VLOOKUP(G60,全部!C:W,21,FALSE)</f>
        <v>216000</v>
      </c>
      <c r="O60" s="4">
        <f>VLOOKUP(G60,全部!C:X,22,FALSE)</f>
        <v>216000</v>
      </c>
      <c r="P60" s="4">
        <f>VLOOKUP(G60,全部!C:Y,23,FALSE)</f>
        <v>216000</v>
      </c>
      <c r="Q60" s="6">
        <f>VLOOKUP(G60,全部!C:Z,24,FALSE)</f>
        <v>0</v>
      </c>
      <c r="R60" s="7">
        <f>VLOOKUP(G60,全部!C:AA,25,FALSE)</f>
        <v>0</v>
      </c>
      <c r="S60" s="7">
        <f>VLOOKUP(G60,全部!C:AB,26,FALSE)</f>
        <v>0</v>
      </c>
      <c r="T60" s="4">
        <f>VLOOKUP(计算!G60,全部!C:AC,27,FALSE)</f>
        <v>4236242</v>
      </c>
      <c r="U60" s="4">
        <f>VLOOKUP(G60,全部!C:AD,28,FALSE)</f>
        <v>4236242</v>
      </c>
      <c r="V60" s="6">
        <f>VLOOKUP(G60,全部!C:AE,29,FALSE)</f>
        <v>0.78448925925925928</v>
      </c>
      <c r="W60" s="4">
        <f>VLOOKUP(G60,全部!C:AF,30,FALSE)</f>
        <v>0</v>
      </c>
      <c r="X60" s="4">
        <f>VLOOKUP(G60,全部!C:AG,31,FALSE)</f>
        <v>0</v>
      </c>
      <c r="Y60" s="4">
        <f>VLOOKUP(计算!G60,全部!C:AH,32,FALSE)</f>
        <v>4091973.96</v>
      </c>
      <c r="Z60" s="4">
        <f>VLOOKUP(G60,全部!C:AL,36,FALSE)</f>
        <v>4091973.96</v>
      </c>
      <c r="AA60" s="4">
        <f>VLOOKUP(G60,全部!C:AM,37,FALSE)</f>
        <v>3.4000000000000002E-2</v>
      </c>
      <c r="AB60" s="6">
        <f>VLOOKUP(G60,全部!C:AN,38,FALSE)</f>
        <v>183600</v>
      </c>
      <c r="AC60" s="4">
        <f>VLOOKUP(G60,全部!C:AO,39,FALSE)</f>
        <v>144033</v>
      </c>
      <c r="AD60" s="4">
        <f>VLOOKUP(G60,全部!C:AP,40,FALSE)</f>
        <v>144033</v>
      </c>
      <c r="AE60" s="6">
        <f>VLOOKUP(G60,全部!C:AQ,41,FALSE)</f>
        <v>39567</v>
      </c>
      <c r="AF60" s="4">
        <f>VLOOKUP(G60,全部!C:AR,42,FALSE)</f>
        <v>0</v>
      </c>
      <c r="AG60" s="7">
        <f>VLOOKUP(G60,全部!C:AS,43,FALSE)</f>
        <v>0</v>
      </c>
      <c r="AH60" s="64" t="str">
        <f>IF(VLOOKUP(G60,全部!C:AT,44,FALSE)=0,"",VLOOKUP(G60,全部!C:AT,44,FALSE))</f>
        <v/>
      </c>
      <c r="AI60">
        <v>0</v>
      </c>
      <c r="AJ60" s="3">
        <v>41912.6862384259</v>
      </c>
      <c r="AK60" s="2" t="s">
        <v>2149</v>
      </c>
    </row>
    <row r="61" spans="1:37" x14ac:dyDescent="0.15">
      <c r="A61" s="2" t="s">
        <v>2148</v>
      </c>
      <c r="B61">
        <v>71</v>
      </c>
      <c r="C61" s="3">
        <v>41183</v>
      </c>
      <c r="D61" s="2" t="s">
        <v>37</v>
      </c>
      <c r="E61" s="2" t="s">
        <v>2147</v>
      </c>
      <c r="F61" s="2" t="s">
        <v>41</v>
      </c>
      <c r="G61" s="2" t="s">
        <v>162</v>
      </c>
      <c r="H61" s="2" t="s">
        <v>161</v>
      </c>
      <c r="I61" s="4">
        <f>VLOOKUP(G61,全部!C:M,11,FALSE)</f>
        <v>248322.8</v>
      </c>
      <c r="J61" s="4">
        <f t="shared" si="0"/>
        <v>0</v>
      </c>
      <c r="K61" s="4">
        <f>VLOOKUP(计算!G61,全部!C:N,12,FALSE)</f>
        <v>0</v>
      </c>
      <c r="L61" s="5">
        <f>VLOOKUP(G61,全部!C:P,14,FALSE)</f>
        <v>0</v>
      </c>
      <c r="M61" s="5">
        <f>VLOOKUP(G61,全部!C:V,20,FALSE)*100</f>
        <v>4</v>
      </c>
      <c r="N61" s="6">
        <f>VLOOKUP(G61,全部!C:W,21,FALSE)</f>
        <v>9932.9120000000003</v>
      </c>
      <c r="O61" s="4">
        <f>VLOOKUP(G61,全部!C:X,22,FALSE)</f>
        <v>9933</v>
      </c>
      <c r="P61" s="4">
        <f>VLOOKUP(G61,全部!C:Y,23,FALSE)</f>
        <v>9933</v>
      </c>
      <c r="Q61" s="6">
        <f>VLOOKUP(G61,全部!C:Z,24,FALSE)</f>
        <v>-8.7999999999738066E-2</v>
      </c>
      <c r="R61" s="7">
        <f>VLOOKUP(G61,全部!C:AA,25,FALSE)</f>
        <v>0</v>
      </c>
      <c r="S61" s="7">
        <f>VLOOKUP(G61,全部!C:AB,26,FALSE)</f>
        <v>0</v>
      </c>
      <c r="T61" s="4">
        <f>VLOOKUP(计算!G61,全部!C:AC,27,FALSE)</f>
        <v>0</v>
      </c>
      <c r="U61" s="4">
        <f>VLOOKUP(G61,全部!C:AD,28,FALSE)</f>
        <v>0</v>
      </c>
      <c r="V61" s="6">
        <f>VLOOKUP(G61,全部!C:AE,29,FALSE)</f>
        <v>0</v>
      </c>
      <c r="W61" s="4">
        <f>VLOOKUP(G61,全部!C:AF,30,FALSE)</f>
        <v>0</v>
      </c>
      <c r="X61" s="4">
        <f>VLOOKUP(G61,全部!C:AG,31,FALSE)</f>
        <v>0</v>
      </c>
      <c r="Y61" s="4">
        <f>VLOOKUP(计算!G61,全部!C:AH,32,FALSE)</f>
        <v>0</v>
      </c>
      <c r="Z61" s="4">
        <f>VLOOKUP(G61,全部!C:AL,36,FALSE)</f>
        <v>0</v>
      </c>
      <c r="AA61" s="4">
        <f>VLOOKUP(G61,全部!C:AM,37,FALSE)</f>
        <v>0</v>
      </c>
      <c r="AB61" s="6">
        <f>VLOOKUP(G61,全部!C:AN,38,FALSE)</f>
        <v>0</v>
      </c>
      <c r="AC61" s="4">
        <f>VLOOKUP(G61,全部!C:AO,39,FALSE)</f>
        <v>0</v>
      </c>
      <c r="AD61" s="4">
        <f>VLOOKUP(G61,全部!C:AP,40,FALSE)</f>
        <v>0</v>
      </c>
      <c r="AE61" s="6">
        <f>VLOOKUP(G61,全部!C:AQ,41,FALSE)</f>
        <v>0</v>
      </c>
      <c r="AF61" s="4">
        <f>VLOOKUP(G61,全部!C:AR,42,FALSE)</f>
        <v>0</v>
      </c>
      <c r="AG61" s="7">
        <f>VLOOKUP(G61,全部!C:AS,43,FALSE)</f>
        <v>0</v>
      </c>
      <c r="AH61" s="64" t="str">
        <f>IF(VLOOKUP(G61,全部!C:AT,44,FALSE)=0,"",VLOOKUP(G61,全部!C:AT,44,FALSE))</f>
        <v/>
      </c>
      <c r="AI61">
        <v>0</v>
      </c>
      <c r="AJ61" s="3">
        <v>41912.6862384259</v>
      </c>
      <c r="AK61" s="2" t="s">
        <v>2146</v>
      </c>
    </row>
    <row r="62" spans="1:37" x14ac:dyDescent="0.15">
      <c r="A62" s="2" t="s">
        <v>2145</v>
      </c>
      <c r="B62">
        <v>76</v>
      </c>
      <c r="C62" s="3">
        <v>41214</v>
      </c>
      <c r="D62" s="2" t="s">
        <v>37</v>
      </c>
      <c r="E62" s="2" t="s">
        <v>2144</v>
      </c>
      <c r="F62" s="2" t="s">
        <v>41</v>
      </c>
      <c r="G62" s="2" t="s">
        <v>163</v>
      </c>
      <c r="H62" s="2" t="s">
        <v>164</v>
      </c>
      <c r="I62" s="4">
        <f>VLOOKUP(G62,全部!C:M,11,FALSE)</f>
        <v>1095654</v>
      </c>
      <c r="J62" s="4">
        <f t="shared" si="0"/>
        <v>0</v>
      </c>
      <c r="K62" s="4">
        <f>VLOOKUP(计算!G62,全部!C:N,12,FALSE)</f>
        <v>0</v>
      </c>
      <c r="L62" s="5">
        <f>VLOOKUP(G62,全部!C:P,14,FALSE)</f>
        <v>0</v>
      </c>
      <c r="M62" s="5">
        <f>VLOOKUP(G62,全部!C:V,20,FALSE)*100</f>
        <v>4</v>
      </c>
      <c r="N62" s="6">
        <f>VLOOKUP(G62,全部!C:W,21,FALSE)</f>
        <v>43826.16</v>
      </c>
      <c r="O62" s="4">
        <f>VLOOKUP(G62,全部!C:X,22,FALSE)</f>
        <v>43827</v>
      </c>
      <c r="P62" s="4">
        <f>VLOOKUP(G62,全部!C:Y,23,FALSE)</f>
        <v>43827</v>
      </c>
      <c r="Q62" s="6">
        <f>VLOOKUP(G62,全部!C:Z,24,FALSE)</f>
        <v>-0.83999999999650754</v>
      </c>
      <c r="R62" s="7">
        <f>VLOOKUP(G62,全部!C:AA,25,FALSE)</f>
        <v>0</v>
      </c>
      <c r="S62" s="7">
        <f>VLOOKUP(G62,全部!C:AB,26,FALSE)</f>
        <v>0</v>
      </c>
      <c r="T62" s="4">
        <f>VLOOKUP(计算!G62,全部!C:AC,27,FALSE)</f>
        <v>930000</v>
      </c>
      <c r="U62" s="4">
        <f>VLOOKUP(G62,全部!C:AD,28,FALSE)</f>
        <v>930000</v>
      </c>
      <c r="V62" s="6">
        <f>VLOOKUP(G62,全部!C:AE,29,FALSE)</f>
        <v>0.8488081091293419</v>
      </c>
      <c r="W62" s="4">
        <f>VLOOKUP(G62,全部!C:AF,30,FALSE)</f>
        <v>0</v>
      </c>
      <c r="X62" s="4">
        <f>VLOOKUP(G62,全部!C:AG,31,FALSE)</f>
        <v>0</v>
      </c>
      <c r="Y62" s="4">
        <f>VLOOKUP(计算!G62,全部!C:AH,32,FALSE)</f>
        <v>898120.15</v>
      </c>
      <c r="Z62" s="4">
        <f>VLOOKUP(G62,全部!C:AL,36,FALSE)</f>
        <v>898120.15</v>
      </c>
      <c r="AA62" s="4">
        <f>VLOOKUP(G62,全部!C:AM,37,FALSE)</f>
        <v>3.4599999999999999E-2</v>
      </c>
      <c r="AB62" s="6">
        <f>VLOOKUP(G62,全部!C:AN,38,FALSE)</f>
        <v>37909.628400000001</v>
      </c>
      <c r="AC62" s="4">
        <f>VLOOKUP(G62,全部!C:AO,39,FALSE)</f>
        <v>31620</v>
      </c>
      <c r="AD62" s="4">
        <f>VLOOKUP(G62,全部!C:AP,40,FALSE)</f>
        <v>31620</v>
      </c>
      <c r="AE62" s="6">
        <f>VLOOKUP(G62,全部!C:AQ,41,FALSE)</f>
        <v>6289.6284000000014</v>
      </c>
      <c r="AF62" s="4">
        <f>VLOOKUP(G62,全部!C:AR,42,FALSE)</f>
        <v>0</v>
      </c>
      <c r="AG62" s="7">
        <f>VLOOKUP(G62,全部!C:AS,43,FALSE)</f>
        <v>0</v>
      </c>
      <c r="AH62" s="64" t="str">
        <f>IF(VLOOKUP(G62,全部!C:AT,44,FALSE)=0,"",VLOOKUP(G62,全部!C:AT,44,FALSE))</f>
        <v/>
      </c>
      <c r="AI62">
        <v>0</v>
      </c>
      <c r="AJ62" s="3">
        <v>41912.6862384259</v>
      </c>
      <c r="AK62" s="2" t="s">
        <v>2143</v>
      </c>
    </row>
    <row r="63" spans="1:37" x14ac:dyDescent="0.15">
      <c r="A63" s="2" t="s">
        <v>2142</v>
      </c>
      <c r="B63">
        <v>656</v>
      </c>
      <c r="C63" s="3">
        <v>41242</v>
      </c>
      <c r="D63" s="2" t="s">
        <v>37</v>
      </c>
      <c r="E63" s="2" t="s">
        <v>2141</v>
      </c>
      <c r="F63" s="2" t="s">
        <v>38</v>
      </c>
      <c r="G63" s="2" t="s">
        <v>165</v>
      </c>
      <c r="H63" s="2" t="s">
        <v>166</v>
      </c>
      <c r="I63" s="4">
        <f>VLOOKUP(G63,全部!C:M,11,FALSE)</f>
        <v>1947790</v>
      </c>
      <c r="J63" s="4">
        <f t="shared" si="0"/>
        <v>3958320</v>
      </c>
      <c r="K63" s="4">
        <f>VLOOKUP(计算!G63,全部!C:N,12,FALSE)</f>
        <v>3958320</v>
      </c>
      <c r="L63" s="5">
        <f>VLOOKUP(G63,全部!C:P,14,FALSE)</f>
        <v>0</v>
      </c>
      <c r="M63" s="5">
        <f>VLOOKUP(G63,全部!C:V,20,FALSE)*100</f>
        <v>3</v>
      </c>
      <c r="N63" s="6">
        <f>VLOOKUP(G63,全部!C:W,21,FALSE)</f>
        <v>177183.3</v>
      </c>
      <c r="O63" s="4">
        <f>VLOOKUP(G63,全部!C:X,22,FALSE)</f>
        <v>177183</v>
      </c>
      <c r="P63" s="4">
        <f>VLOOKUP(G63,全部!C:Y,23,FALSE)</f>
        <v>177183</v>
      </c>
      <c r="Q63" s="6">
        <f>VLOOKUP(G63,全部!C:Z,24,FALSE)</f>
        <v>0</v>
      </c>
      <c r="R63" s="7">
        <f>VLOOKUP(G63,全部!C:AA,25,FALSE)</f>
        <v>4929108.8</v>
      </c>
      <c r="S63" s="7">
        <f>VLOOKUP(G63,全部!C:AB,26,FALSE)</f>
        <v>4929108.8</v>
      </c>
      <c r="T63" s="4">
        <f>VLOOKUP(计算!G63,全部!C:AC,27,FALSE)</f>
        <v>4679800</v>
      </c>
      <c r="U63" s="4">
        <f>VLOOKUP(G63,全部!C:AD,28,FALSE)</f>
        <v>4679800</v>
      </c>
      <c r="V63" s="6">
        <f>VLOOKUP(G63,全部!C:AE,29,FALSE)</f>
        <v>0.79236587195294361</v>
      </c>
      <c r="W63" s="4">
        <f>VLOOKUP(G63,全部!C:AF,30,FALSE)</f>
        <v>3570320.71</v>
      </c>
      <c r="X63" s="4">
        <f>VLOOKUP(G63,全部!C:AG,31,FALSE)</f>
        <v>3570320.71</v>
      </c>
      <c r="Y63" s="4">
        <f>VLOOKUP(计算!G63,全部!C:AH,32,FALSE)</f>
        <v>3905909.71</v>
      </c>
      <c r="Z63" s="4">
        <f>VLOOKUP(G63,全部!C:AL,36,FALSE)</f>
        <v>3905909.71</v>
      </c>
      <c r="AA63" s="4">
        <f>VLOOKUP(G63,全部!C:AM,37,FALSE)</f>
        <v>3.4000000000000002E-2</v>
      </c>
      <c r="AB63" s="6">
        <f>VLOOKUP(G63,全部!C:AN,38,FALSE)</f>
        <v>167589.6992</v>
      </c>
      <c r="AC63" s="4">
        <f>VLOOKUP(G63,全部!C:AO,39,FALSE)</f>
        <v>167589</v>
      </c>
      <c r="AD63" s="4">
        <f>VLOOKUP(G63,全部!C:AP,40,FALSE)</f>
        <v>167589</v>
      </c>
      <c r="AE63" s="6">
        <f>VLOOKUP(G63,全部!C:AQ,41,FALSE)</f>
        <v>0</v>
      </c>
      <c r="AF63" s="4">
        <f>VLOOKUP(G63,全部!C:AR,42,FALSE)</f>
        <v>0</v>
      </c>
      <c r="AG63" s="7">
        <f>VLOOKUP(G63,全部!C:AS,43,FALSE)</f>
        <v>0</v>
      </c>
      <c r="AH63" s="64" t="str">
        <f>IF(VLOOKUP(G63,全部!C:AT,44,FALSE)=0,"",VLOOKUP(G63,全部!C:AT,44,FALSE))</f>
        <v/>
      </c>
      <c r="AI63">
        <v>0</v>
      </c>
      <c r="AJ63" s="3">
        <v>41912.686261574097</v>
      </c>
      <c r="AK63" s="2" t="s">
        <v>2140</v>
      </c>
    </row>
    <row r="64" spans="1:37" x14ac:dyDescent="0.15">
      <c r="A64" s="2" t="s">
        <v>2139</v>
      </c>
      <c r="B64">
        <v>87</v>
      </c>
      <c r="C64" s="3">
        <v>41244</v>
      </c>
      <c r="D64" s="2" t="s">
        <v>37</v>
      </c>
      <c r="E64" s="2" t="s">
        <v>2138</v>
      </c>
      <c r="F64" s="2" t="s">
        <v>41</v>
      </c>
      <c r="G64" s="2" t="s">
        <v>167</v>
      </c>
      <c r="H64" s="2" t="s">
        <v>168</v>
      </c>
      <c r="I64" s="4">
        <f>VLOOKUP(G64,全部!C:M,11,FALSE)</f>
        <v>1424272.9</v>
      </c>
      <c r="J64" s="4">
        <f t="shared" si="0"/>
        <v>0</v>
      </c>
      <c r="K64" s="4">
        <f>VLOOKUP(计算!G64,全部!C:N,12,FALSE)</f>
        <v>0</v>
      </c>
      <c r="L64" s="5">
        <f>VLOOKUP(G64,全部!C:P,14,FALSE)</f>
        <v>679820</v>
      </c>
      <c r="M64" s="5">
        <f>VLOOKUP(G64,全部!C:V,20,FALSE)*100</f>
        <v>4</v>
      </c>
      <c r="N64" s="6">
        <f>VLOOKUP(G64,全部!C:W,21,FALSE)</f>
        <v>27192.799999999999</v>
      </c>
      <c r="O64" s="4">
        <f>VLOOKUP(G64,全部!C:X,22,FALSE)</f>
        <v>27192.799999999999</v>
      </c>
      <c r="P64" s="4">
        <f>VLOOKUP(G64,全部!C:Y,23,FALSE)</f>
        <v>27192.799999999999</v>
      </c>
      <c r="Q64" s="6">
        <f>VLOOKUP(G64,全部!C:Z,24,FALSE)</f>
        <v>0</v>
      </c>
      <c r="R64" s="7">
        <f>VLOOKUP(G64,全部!C:AA,25,FALSE)</f>
        <v>0</v>
      </c>
      <c r="S64" s="7">
        <f>VLOOKUP(G64,全部!C:AB,26,FALSE)</f>
        <v>0</v>
      </c>
      <c r="T64" s="4">
        <f>VLOOKUP(计算!G64,全部!C:AC,27,FALSE)</f>
        <v>646009</v>
      </c>
      <c r="U64" s="4">
        <f>VLOOKUP(G64,全部!C:AD,28,FALSE)</f>
        <v>646009</v>
      </c>
      <c r="V64" s="6">
        <f>VLOOKUP(G64,全部!C:AE,29,FALSE)</f>
        <v>0.95026477597010972</v>
      </c>
      <c r="W64" s="4">
        <f>VLOOKUP(G64,全部!C:AF,30,FALSE)</f>
        <v>0</v>
      </c>
      <c r="X64" s="4">
        <f>VLOOKUP(G64,全部!C:AG,31,FALSE)</f>
        <v>0</v>
      </c>
      <c r="Y64" s="4">
        <f>VLOOKUP(计算!G64,全部!C:AH,32,FALSE)</f>
        <v>620287.39</v>
      </c>
      <c r="Z64" s="4">
        <f>VLOOKUP(G64,全部!C:AL,36,FALSE)</f>
        <v>620287.39</v>
      </c>
      <c r="AA64" s="4">
        <f>VLOOKUP(G64,全部!C:AM,37,FALSE)</f>
        <v>3.4000000000000002E-2</v>
      </c>
      <c r="AB64" s="6">
        <f>VLOOKUP(G64,全部!C:AN,38,FALSE)</f>
        <v>23113.88</v>
      </c>
      <c r="AC64" s="4">
        <f>VLOOKUP(G64,全部!C:AO,39,FALSE)</f>
        <v>21965.39</v>
      </c>
      <c r="AD64" s="4">
        <f>VLOOKUP(G64,全部!C:AP,40,FALSE)</f>
        <v>21965.39</v>
      </c>
      <c r="AE64" s="6">
        <f>VLOOKUP(G64,全部!C:AQ,41,FALSE)</f>
        <v>1148.4900000000016</v>
      </c>
      <c r="AF64" s="4">
        <f>VLOOKUP(G64,全部!C:AR,42,FALSE)</f>
        <v>0</v>
      </c>
      <c r="AG64" s="7">
        <f>VLOOKUP(G64,全部!C:AS,43,FALSE)</f>
        <v>0</v>
      </c>
      <c r="AH64" s="64" t="str">
        <f>IF(VLOOKUP(G64,全部!C:AT,44,FALSE)=0,"",VLOOKUP(G64,全部!C:AT,44,FALSE))</f>
        <v/>
      </c>
      <c r="AI64">
        <v>0</v>
      </c>
      <c r="AJ64" s="3">
        <v>41912.6862384259</v>
      </c>
      <c r="AK64" s="2" t="s">
        <v>2137</v>
      </c>
    </row>
    <row r="65" spans="1:37" x14ac:dyDescent="0.15">
      <c r="A65" s="2" t="s">
        <v>2136</v>
      </c>
      <c r="B65">
        <v>81</v>
      </c>
      <c r="C65" s="3">
        <v>41244</v>
      </c>
      <c r="D65" s="2" t="s">
        <v>37</v>
      </c>
      <c r="E65" s="2" t="s">
        <v>2135</v>
      </c>
      <c r="F65" s="2" t="s">
        <v>41</v>
      </c>
      <c r="G65" s="2" t="s">
        <v>169</v>
      </c>
      <c r="H65" s="2" t="s">
        <v>170</v>
      </c>
      <c r="I65" s="4">
        <f>VLOOKUP(G65,全部!C:M,11,FALSE)</f>
        <v>7400000</v>
      </c>
      <c r="J65" s="4">
        <f t="shared" si="0"/>
        <v>0</v>
      </c>
      <c r="K65" s="4">
        <f>VLOOKUP(计算!G65,全部!C:N,12,FALSE)</f>
        <v>0</v>
      </c>
      <c r="L65" s="5">
        <f>VLOOKUP(G65,全部!C:P,14,FALSE)</f>
        <v>0</v>
      </c>
      <c r="M65" s="5">
        <f>VLOOKUP(G65,全部!C:V,20,FALSE)*100</f>
        <v>4</v>
      </c>
      <c r="N65" s="6">
        <f>VLOOKUP(G65,全部!C:W,21,FALSE)</f>
        <v>296000</v>
      </c>
      <c r="O65" s="4">
        <f>VLOOKUP(G65,全部!C:X,22,FALSE)</f>
        <v>296000</v>
      </c>
      <c r="P65" s="4">
        <f>VLOOKUP(G65,全部!C:Y,23,FALSE)</f>
        <v>296000</v>
      </c>
      <c r="Q65" s="6">
        <f>VLOOKUP(G65,全部!C:Z,24,FALSE)</f>
        <v>0</v>
      </c>
      <c r="R65" s="7">
        <f>VLOOKUP(G65,全部!C:AA,25,FALSE)</f>
        <v>0</v>
      </c>
      <c r="S65" s="7">
        <f>VLOOKUP(G65,全部!C:AB,26,FALSE)</f>
        <v>0</v>
      </c>
      <c r="T65" s="4">
        <f>VLOOKUP(计算!G65,全部!C:AC,27,FALSE)</f>
        <v>3132050</v>
      </c>
      <c r="U65" s="4">
        <f>VLOOKUP(G65,全部!C:AD,28,FALSE)</f>
        <v>3132050</v>
      </c>
      <c r="V65" s="6">
        <f>VLOOKUP(G65,全部!C:AE,29,FALSE)</f>
        <v>0.42325000000000002</v>
      </c>
      <c r="W65" s="4">
        <f>VLOOKUP(G65,全部!C:AF,30,FALSE)</f>
        <v>0</v>
      </c>
      <c r="X65" s="4">
        <f>VLOOKUP(G65,全部!C:AG,31,FALSE)</f>
        <v>0</v>
      </c>
      <c r="Y65" s="4">
        <f>VLOOKUP(计算!G65,全部!C:AH,32,FALSE)</f>
        <v>3103690</v>
      </c>
      <c r="Z65" s="4">
        <f>VLOOKUP(G65,全部!C:AL,36,FALSE)</f>
        <v>3103690</v>
      </c>
      <c r="AA65" s="4">
        <f>VLOOKUP(G65,全部!C:AM,37,FALSE)</f>
        <v>3.4000000000000002E-2</v>
      </c>
      <c r="AB65" s="6">
        <f>VLOOKUP(G65,全部!C:AN,38,FALSE)</f>
        <v>251600.00000000003</v>
      </c>
      <c r="AC65" s="4">
        <f>VLOOKUP(G65,全部!C:AO,39,FALSE)</f>
        <v>54365.42</v>
      </c>
      <c r="AD65" s="4">
        <f>VLOOKUP(G65,全部!C:AP,40,FALSE)</f>
        <v>54365.42</v>
      </c>
      <c r="AE65" s="6">
        <f>VLOOKUP(G65,全部!C:AQ,41,FALSE)</f>
        <v>197234.58000000002</v>
      </c>
      <c r="AF65" s="4">
        <f>VLOOKUP(G65,全部!C:AR,42,FALSE)</f>
        <v>0</v>
      </c>
      <c r="AG65" s="7">
        <f>VLOOKUP(G65,全部!C:AS,43,FALSE)</f>
        <v>0</v>
      </c>
      <c r="AH65" s="64" t="str">
        <f>IF(VLOOKUP(G65,全部!C:AT,44,FALSE)=0,"",VLOOKUP(G65,全部!C:AT,44,FALSE))</f>
        <v/>
      </c>
      <c r="AI65">
        <v>0</v>
      </c>
      <c r="AJ65" s="3">
        <v>41912.6862384259</v>
      </c>
      <c r="AK65" s="2" t="s">
        <v>2134</v>
      </c>
    </row>
    <row r="66" spans="1:37" x14ac:dyDescent="0.15">
      <c r="A66" s="2" t="s">
        <v>2133</v>
      </c>
      <c r="B66">
        <v>89</v>
      </c>
      <c r="C66" s="3">
        <v>41244</v>
      </c>
      <c r="D66" s="2" t="s">
        <v>37</v>
      </c>
      <c r="E66" s="2" t="s">
        <v>2132</v>
      </c>
      <c r="F66" s="2" t="s">
        <v>41</v>
      </c>
      <c r="G66" s="2" t="s">
        <v>171</v>
      </c>
      <c r="H66" s="2" t="s">
        <v>172</v>
      </c>
      <c r="I66" s="4">
        <f>VLOOKUP(G66,全部!C:M,11,FALSE)</f>
        <v>560000</v>
      </c>
      <c r="J66" s="4">
        <f t="shared" si="0"/>
        <v>0</v>
      </c>
      <c r="K66" s="4">
        <f>VLOOKUP(计算!G66,全部!C:N,12,FALSE)</f>
        <v>0</v>
      </c>
      <c r="L66" s="5">
        <f>VLOOKUP(G66,全部!C:P,14,FALSE)</f>
        <v>0</v>
      </c>
      <c r="M66" s="5">
        <f>VLOOKUP(G66,全部!C:V,20,FALSE)*100</f>
        <v>6.5</v>
      </c>
      <c r="N66" s="6">
        <f>VLOOKUP(G66,全部!C:W,21,FALSE)</f>
        <v>36400</v>
      </c>
      <c r="O66" s="4">
        <f>VLOOKUP(G66,全部!C:X,22,FALSE)</f>
        <v>36400</v>
      </c>
      <c r="P66" s="4">
        <f>VLOOKUP(G66,全部!C:Y,23,FALSE)</f>
        <v>36400</v>
      </c>
      <c r="Q66" s="6">
        <f>VLOOKUP(G66,全部!C:Z,24,FALSE)</f>
        <v>0</v>
      </c>
      <c r="R66" s="7">
        <f>VLOOKUP(G66,全部!C:AA,25,FALSE)</f>
        <v>0</v>
      </c>
      <c r="S66" s="7">
        <f>VLOOKUP(G66,全部!C:AB,26,FALSE)</f>
        <v>0</v>
      </c>
      <c r="T66" s="4">
        <f>VLOOKUP(计算!G66,全部!C:AC,27,FALSE)</f>
        <v>0</v>
      </c>
      <c r="U66" s="4">
        <f>VLOOKUP(G66,全部!C:AD,28,FALSE)</f>
        <v>0</v>
      </c>
      <c r="V66" s="6">
        <f>VLOOKUP(G66,全部!C:AE,29,FALSE)</f>
        <v>0</v>
      </c>
      <c r="W66" s="4">
        <f>VLOOKUP(G66,全部!C:AF,30,FALSE)</f>
        <v>0</v>
      </c>
      <c r="X66" s="4">
        <f>VLOOKUP(G66,全部!C:AG,31,FALSE)</f>
        <v>0</v>
      </c>
      <c r="Y66" s="4">
        <f>VLOOKUP(计算!G66,全部!C:AH,32,FALSE)</f>
        <v>0</v>
      </c>
      <c r="Z66" s="4">
        <f>VLOOKUP(G66,全部!C:AL,36,FALSE)</f>
        <v>0</v>
      </c>
      <c r="AA66" s="4">
        <f>VLOOKUP(G66,全部!C:AM,37,FALSE)</f>
        <v>0</v>
      </c>
      <c r="AB66" s="6">
        <f>VLOOKUP(G66,全部!C:AN,38,FALSE)</f>
        <v>0</v>
      </c>
      <c r="AC66" s="4">
        <f>VLOOKUP(G66,全部!C:AO,39,FALSE)</f>
        <v>0</v>
      </c>
      <c r="AD66" s="4">
        <f>VLOOKUP(G66,全部!C:AP,40,FALSE)</f>
        <v>0</v>
      </c>
      <c r="AE66" s="6">
        <f>VLOOKUP(G66,全部!C:AQ,41,FALSE)</f>
        <v>0</v>
      </c>
      <c r="AF66" s="4">
        <f>VLOOKUP(G66,全部!C:AR,42,FALSE)</f>
        <v>0</v>
      </c>
      <c r="AG66" s="7">
        <f>VLOOKUP(G66,全部!C:AS,43,FALSE)</f>
        <v>0</v>
      </c>
      <c r="AH66" s="64" t="str">
        <f>IF(VLOOKUP(G66,全部!C:AT,44,FALSE)=0,"",VLOOKUP(G66,全部!C:AT,44,FALSE))</f>
        <v/>
      </c>
      <c r="AI66">
        <v>0</v>
      </c>
      <c r="AJ66" s="3">
        <v>41912.6862384259</v>
      </c>
      <c r="AK66" s="2" t="s">
        <v>2131</v>
      </c>
    </row>
    <row r="67" spans="1:37" x14ac:dyDescent="0.15">
      <c r="A67" s="2" t="s">
        <v>2130</v>
      </c>
      <c r="B67">
        <v>82</v>
      </c>
      <c r="C67" s="3">
        <v>41244</v>
      </c>
      <c r="D67" s="2" t="s">
        <v>37</v>
      </c>
      <c r="E67" s="2" t="s">
        <v>2129</v>
      </c>
      <c r="F67" s="2" t="s">
        <v>41</v>
      </c>
      <c r="G67" s="2" t="s">
        <v>175</v>
      </c>
      <c r="H67" s="2" t="s">
        <v>170</v>
      </c>
      <c r="I67" s="4">
        <f>VLOOKUP(G67,全部!C:M,11,FALSE)</f>
        <v>1679000</v>
      </c>
      <c r="J67" s="4">
        <f t="shared" ref="J67:J130" si="1">K67</f>
        <v>0</v>
      </c>
      <c r="K67" s="4">
        <f>VLOOKUP(计算!G67,全部!C:N,12,FALSE)</f>
        <v>0</v>
      </c>
      <c r="L67" s="5">
        <f>VLOOKUP(G67,全部!C:P,14,FALSE)</f>
        <v>0</v>
      </c>
      <c r="M67" s="5">
        <f>VLOOKUP(G67,全部!C:V,20,FALSE)*100</f>
        <v>3.5999999999999996</v>
      </c>
      <c r="N67" s="6">
        <f>VLOOKUP(G67,全部!C:W,21,FALSE)</f>
        <v>60443.999999999993</v>
      </c>
      <c r="O67" s="4">
        <f>VLOOKUP(G67,全部!C:X,22,FALSE)</f>
        <v>0</v>
      </c>
      <c r="P67" s="4">
        <f>VLOOKUP(G67,全部!C:Y,23,FALSE)</f>
        <v>0</v>
      </c>
      <c r="Q67" s="6">
        <f>VLOOKUP(G67,全部!C:Z,24,FALSE)</f>
        <v>60443.999999999993</v>
      </c>
      <c r="R67" s="7">
        <f>VLOOKUP(G67,全部!C:AA,25,FALSE)</f>
        <v>0</v>
      </c>
      <c r="S67" s="7">
        <f>VLOOKUP(G67,全部!C:AB,26,FALSE)</f>
        <v>0</v>
      </c>
      <c r="T67" s="4">
        <f>VLOOKUP(计算!G67,全部!C:AC,27,FALSE)</f>
        <v>0</v>
      </c>
      <c r="U67" s="4">
        <f>VLOOKUP(G67,全部!C:AD,28,FALSE)</f>
        <v>0</v>
      </c>
      <c r="V67" s="6">
        <f>VLOOKUP(G67,全部!C:AE,29,FALSE)</f>
        <v>0</v>
      </c>
      <c r="W67" s="4">
        <f>VLOOKUP(G67,全部!C:AF,30,FALSE)</f>
        <v>0</v>
      </c>
      <c r="X67" s="4">
        <f>VLOOKUP(G67,全部!C:AG,31,FALSE)</f>
        <v>0</v>
      </c>
      <c r="Y67" s="4">
        <f>VLOOKUP(计算!G67,全部!C:AH,32,FALSE)</f>
        <v>0</v>
      </c>
      <c r="Z67" s="4">
        <f>VLOOKUP(G67,全部!C:AL,36,FALSE)</f>
        <v>0</v>
      </c>
      <c r="AA67" s="4">
        <f>VLOOKUP(G67,全部!C:AM,37,FALSE)</f>
        <v>3.4000000000000002E-2</v>
      </c>
      <c r="AB67" s="6">
        <f>VLOOKUP(G67,全部!C:AN,38,FALSE)</f>
        <v>57086.000000000007</v>
      </c>
      <c r="AC67" s="4">
        <f>VLOOKUP(G67,全部!C:AO,39,FALSE)</f>
        <v>0</v>
      </c>
      <c r="AD67" s="4">
        <f>VLOOKUP(G67,全部!C:AP,40,FALSE)</f>
        <v>0</v>
      </c>
      <c r="AE67" s="6">
        <f>VLOOKUP(G67,全部!C:AQ,41,FALSE)</f>
        <v>57086.000000000007</v>
      </c>
      <c r="AF67" s="4">
        <f>VLOOKUP(G67,全部!C:AR,42,FALSE)</f>
        <v>0</v>
      </c>
      <c r="AG67" s="7">
        <f>VLOOKUP(G67,全部!C:AS,43,FALSE)</f>
        <v>0</v>
      </c>
      <c r="AH67" s="64" t="str">
        <f>IF(VLOOKUP(G67,全部!C:AT,44,FALSE)=0,"",VLOOKUP(G67,全部!C:AT,44,FALSE))</f>
        <v/>
      </c>
      <c r="AI67">
        <v>0</v>
      </c>
      <c r="AJ67" s="3">
        <v>41912.6862384259</v>
      </c>
      <c r="AK67" s="2" t="s">
        <v>2128</v>
      </c>
    </row>
    <row r="68" spans="1:37" x14ac:dyDescent="0.15">
      <c r="A68" s="2" t="s">
        <v>2127</v>
      </c>
      <c r="B68">
        <v>94</v>
      </c>
      <c r="C68" s="3">
        <v>41244</v>
      </c>
      <c r="D68" s="2" t="s">
        <v>37</v>
      </c>
      <c r="E68" s="2" t="s">
        <v>2126</v>
      </c>
      <c r="F68" s="2" t="s">
        <v>41</v>
      </c>
      <c r="G68" s="2" t="s">
        <v>173</v>
      </c>
      <c r="H68" s="2" t="s">
        <v>174</v>
      </c>
      <c r="I68" s="4">
        <f>VLOOKUP(G68,全部!C:M,11,FALSE)</f>
        <v>10496879</v>
      </c>
      <c r="J68" s="4">
        <f t="shared" si="1"/>
        <v>0</v>
      </c>
      <c r="K68" s="4">
        <f>VLOOKUP(计算!G68,全部!C:N,12,FALSE)</f>
        <v>0</v>
      </c>
      <c r="L68" s="5">
        <f>VLOOKUP(G68,全部!C:P,14,FALSE)</f>
        <v>12240225</v>
      </c>
      <c r="M68" s="5">
        <f>VLOOKUP(G68,全部!C:V,20,FALSE)*100</f>
        <v>3.5000000000000004</v>
      </c>
      <c r="N68" s="6">
        <f>VLOOKUP(G68,全部!C:W,21,FALSE)</f>
        <v>428407.87500000006</v>
      </c>
      <c r="O68" s="4">
        <f>VLOOKUP(G68,全部!C:X,22,FALSE)</f>
        <v>367390.76</v>
      </c>
      <c r="P68" s="4">
        <f>VLOOKUP(G68,全部!C:Y,23,FALSE)</f>
        <v>367390.76</v>
      </c>
      <c r="Q68" s="6">
        <f>VLOOKUP(G68,全部!C:Z,24,FALSE)</f>
        <v>61017.115000000049</v>
      </c>
      <c r="R68" s="7">
        <f>VLOOKUP(G68,全部!C:AA,25,FALSE)</f>
        <v>0</v>
      </c>
      <c r="S68" s="7">
        <f>VLOOKUP(G68,全部!C:AB,26,FALSE)</f>
        <v>0</v>
      </c>
      <c r="T68" s="4">
        <f>VLOOKUP(计算!G68,全部!C:AC,27,FALSE)</f>
        <v>9807180.1999999993</v>
      </c>
      <c r="U68" s="4">
        <f>VLOOKUP(G68,全部!C:AD,28,FALSE)</f>
        <v>9807180.1999999993</v>
      </c>
      <c r="V68" s="6">
        <f>VLOOKUP(G68,全部!C:AE,29,FALSE)</f>
        <v>0.93429486993229127</v>
      </c>
      <c r="W68" s="4">
        <f>VLOOKUP(G68,全部!C:AF,30,FALSE)</f>
        <v>0</v>
      </c>
      <c r="X68" s="4">
        <f>VLOOKUP(G68,全部!C:AG,31,FALSE)</f>
        <v>0</v>
      </c>
      <c r="Y68" s="4">
        <f>VLOOKUP(计算!G68,全部!C:AH,32,FALSE)</f>
        <v>9234785.1899999995</v>
      </c>
      <c r="Z68" s="4">
        <f>VLOOKUP(G68,全部!C:AL,36,FALSE)</f>
        <v>9234785.1899999995</v>
      </c>
      <c r="AA68" s="4">
        <f>VLOOKUP(G68,全部!C:AM,37,FALSE)</f>
        <v>0</v>
      </c>
      <c r="AB68" s="6">
        <f>VLOOKUP(G68,全部!C:AN,38,FALSE)</f>
        <v>414478.41</v>
      </c>
      <c r="AC68" s="4">
        <f>VLOOKUP(G68,全部!C:AO,39,FALSE)</f>
        <v>414478.41</v>
      </c>
      <c r="AD68" s="4">
        <f>VLOOKUP(G68,全部!C:AP,40,FALSE)</f>
        <v>414478.41</v>
      </c>
      <c r="AE68" s="6">
        <f>VLOOKUP(G68,全部!C:AQ,41,FALSE)</f>
        <v>0</v>
      </c>
      <c r="AF68" s="4">
        <f>VLOOKUP(G68,全部!C:AR,42,FALSE)</f>
        <v>0</v>
      </c>
      <c r="AG68" s="7">
        <f>VLOOKUP(G68,全部!C:AS,43,FALSE)</f>
        <v>0</v>
      </c>
      <c r="AH68" s="64" t="str">
        <f>IF(VLOOKUP(G68,全部!C:AT,44,FALSE)=0,"",VLOOKUP(G68,全部!C:AT,44,FALSE))</f>
        <v/>
      </c>
      <c r="AI68">
        <v>0</v>
      </c>
      <c r="AJ68" s="3">
        <v>41912.6862384259</v>
      </c>
      <c r="AK68" s="2" t="s">
        <v>2125</v>
      </c>
    </row>
    <row r="69" spans="1:37" x14ac:dyDescent="0.15">
      <c r="A69" s="2" t="s">
        <v>2124</v>
      </c>
      <c r="B69">
        <v>99</v>
      </c>
      <c r="C69" s="3">
        <v>41275</v>
      </c>
      <c r="D69" s="2" t="s">
        <v>37</v>
      </c>
      <c r="E69" s="2" t="s">
        <v>2123</v>
      </c>
      <c r="F69" s="2" t="s">
        <v>41</v>
      </c>
      <c r="G69" s="2" t="s">
        <v>176</v>
      </c>
      <c r="H69" s="2" t="s">
        <v>177</v>
      </c>
      <c r="I69" s="4">
        <f>VLOOKUP(G69,全部!C:M,11,FALSE)</f>
        <v>3323897.08</v>
      </c>
      <c r="J69" s="4">
        <f t="shared" si="1"/>
        <v>0</v>
      </c>
      <c r="K69" s="4">
        <f>VLOOKUP(计算!G69,全部!C:N,12,FALSE)</f>
        <v>0</v>
      </c>
      <c r="L69" s="5">
        <f>VLOOKUP(G69,全部!C:P,14,FALSE)</f>
        <v>4884000</v>
      </c>
      <c r="M69" s="5">
        <f>VLOOKUP(G69,全部!C:V,20,FALSE)*100</f>
        <v>4</v>
      </c>
      <c r="N69" s="6">
        <f>VLOOKUP(G69,全部!C:W,21,FALSE)</f>
        <v>195360</v>
      </c>
      <c r="O69" s="4">
        <f>VLOOKUP(G69,全部!C:X,22,FALSE)</f>
        <v>195360</v>
      </c>
      <c r="P69" s="4">
        <f>VLOOKUP(G69,全部!C:Y,23,FALSE)</f>
        <v>195360</v>
      </c>
      <c r="Q69" s="6">
        <f>VLOOKUP(G69,全部!C:Z,24,FALSE)</f>
        <v>0</v>
      </c>
      <c r="R69" s="7">
        <f>VLOOKUP(G69,全部!C:AA,25,FALSE)</f>
        <v>0</v>
      </c>
      <c r="S69" s="7">
        <f>VLOOKUP(G69,全部!C:AB,26,FALSE)</f>
        <v>0</v>
      </c>
      <c r="T69" s="4">
        <f>VLOOKUP(计算!G69,全部!C:AC,27,FALSE)</f>
        <v>3816858</v>
      </c>
      <c r="U69" s="4">
        <f>VLOOKUP(G69,全部!C:AD,28,FALSE)</f>
        <v>3816858</v>
      </c>
      <c r="V69" s="6">
        <f>VLOOKUP(G69,全部!C:AE,29,FALSE)</f>
        <v>1.1483081178915444</v>
      </c>
      <c r="W69" s="4">
        <f>VLOOKUP(G69,全部!C:AF,30,FALSE)</f>
        <v>0</v>
      </c>
      <c r="X69" s="4">
        <f>VLOOKUP(G69,全部!C:AG,31,FALSE)</f>
        <v>0</v>
      </c>
      <c r="Y69" s="4">
        <f>VLOOKUP(计算!G69,全部!C:AH,32,FALSE)</f>
        <v>3658680.67</v>
      </c>
      <c r="Z69" s="4">
        <f>VLOOKUP(G69,全部!C:AL,36,FALSE)</f>
        <v>3658680.67</v>
      </c>
      <c r="AA69" s="4">
        <f>VLOOKUP(G69,全部!C:AM,37,FALSE)</f>
        <v>3.4000000000000002E-2</v>
      </c>
      <c r="AB69" s="6">
        <f>VLOOKUP(G69,全部!C:AN,38,FALSE)</f>
        <v>113012.50072000001</v>
      </c>
      <c r="AC69" s="4">
        <f>VLOOKUP(G69,全部!C:AO,39,FALSE)</f>
        <v>129743</v>
      </c>
      <c r="AD69" s="4">
        <f>VLOOKUP(G69,全部!C:AP,40,FALSE)</f>
        <v>129743</v>
      </c>
      <c r="AE69" s="6">
        <f>VLOOKUP(G69,全部!C:AQ,41,FALSE)</f>
        <v>-16730.499279999989</v>
      </c>
      <c r="AF69" s="4">
        <f>VLOOKUP(G69,全部!C:AR,42,FALSE)</f>
        <v>0</v>
      </c>
      <c r="AG69" s="7">
        <f>VLOOKUP(G69,全部!C:AS,43,FALSE)</f>
        <v>0</v>
      </c>
      <c r="AH69" s="64" t="str">
        <f>IF(VLOOKUP(G69,全部!C:AT,44,FALSE)=0,"",VLOOKUP(G69,全部!C:AT,44,FALSE))</f>
        <v/>
      </c>
      <c r="AI69">
        <v>0</v>
      </c>
      <c r="AJ69" s="3">
        <v>41912.6862384259</v>
      </c>
      <c r="AK69" s="2" t="s">
        <v>2122</v>
      </c>
    </row>
    <row r="70" spans="1:37" x14ac:dyDescent="0.15">
      <c r="A70" s="2" t="s">
        <v>2121</v>
      </c>
      <c r="B70">
        <v>665</v>
      </c>
      <c r="C70" s="3">
        <v>41284</v>
      </c>
      <c r="D70" s="2" t="s">
        <v>37</v>
      </c>
      <c r="E70" s="2" t="s">
        <v>2120</v>
      </c>
      <c r="F70" s="2" t="s">
        <v>38</v>
      </c>
      <c r="G70" s="2" t="s">
        <v>178</v>
      </c>
      <c r="H70" s="2" t="s">
        <v>179</v>
      </c>
      <c r="I70" s="4">
        <f>VLOOKUP(G70,全部!C:M,11,FALSE)</f>
        <v>1973264</v>
      </c>
      <c r="J70" s="4">
        <f t="shared" si="1"/>
        <v>1837947</v>
      </c>
      <c r="K70" s="4">
        <f>VLOOKUP(计算!G70,全部!C:N,12,FALSE)</f>
        <v>1837947</v>
      </c>
      <c r="L70" s="5">
        <f>VLOOKUP(G70,全部!C:P,14,FALSE)</f>
        <v>0</v>
      </c>
      <c r="M70" s="5">
        <f>VLOOKUP(G70,全部!C:V,20,FALSE)*100</f>
        <v>3.5999999999999996</v>
      </c>
      <c r="N70" s="6">
        <f>VLOOKUP(G70,全部!C:W,21,FALSE)</f>
        <v>137203.59599999999</v>
      </c>
      <c r="O70" s="4">
        <f>VLOOKUP(G70,全部!C:X,22,FALSE)</f>
        <v>137204</v>
      </c>
      <c r="P70" s="4">
        <f>VLOOKUP(G70,全部!C:Y,23,FALSE)</f>
        <v>137204</v>
      </c>
      <c r="Q70" s="6">
        <f>VLOOKUP(G70,全部!C:Z,24,FALSE)</f>
        <v>0</v>
      </c>
      <c r="R70" s="7">
        <f>VLOOKUP(G70,全部!C:AA,25,FALSE)</f>
        <v>1500000</v>
      </c>
      <c r="S70" s="7">
        <f>VLOOKUP(G70,全部!C:AB,26,FALSE)</f>
        <v>1500000</v>
      </c>
      <c r="T70" s="4">
        <f>VLOOKUP(计算!G70,全部!C:AC,27,FALSE)</f>
        <v>1500000</v>
      </c>
      <c r="U70" s="4">
        <f>VLOOKUP(G70,全部!C:AD,28,FALSE)</f>
        <v>1500000</v>
      </c>
      <c r="V70" s="6">
        <f>VLOOKUP(G70,全部!C:AE,29,FALSE)</f>
        <v>0.39357569024648598</v>
      </c>
      <c r="W70" s="4">
        <f>VLOOKUP(G70,全部!C:AF,30,FALSE)</f>
        <v>1373403.7</v>
      </c>
      <c r="X70" s="4">
        <f>VLOOKUP(G70,全部!C:AG,31,FALSE)</f>
        <v>1373403.7</v>
      </c>
      <c r="Y70" s="4">
        <f>VLOOKUP(计算!G70,全部!C:AH,32,FALSE)</f>
        <v>1424403.7</v>
      </c>
      <c r="Z70" s="4">
        <f>VLOOKUP(G70,全部!C:AL,36,FALSE)</f>
        <v>1424403.7</v>
      </c>
      <c r="AA70" s="4">
        <f>VLOOKUP(G70,全部!C:AM,37,FALSE)</f>
        <v>3.4000000000000002E-2</v>
      </c>
      <c r="AB70" s="6">
        <f>VLOOKUP(G70,全部!C:AN,38,FALSE)</f>
        <v>51000.000000000007</v>
      </c>
      <c r="AC70" s="4">
        <f>VLOOKUP(G70,全部!C:AO,39,FALSE)</f>
        <v>51000</v>
      </c>
      <c r="AD70" s="4">
        <f>VLOOKUP(G70,全部!C:AP,40,FALSE)</f>
        <v>51000</v>
      </c>
      <c r="AE70" s="6">
        <f>VLOOKUP(G70,全部!C:AQ,41,FALSE)</f>
        <v>0</v>
      </c>
      <c r="AF70" s="4">
        <f>VLOOKUP(G70,全部!C:AR,42,FALSE)</f>
        <v>0</v>
      </c>
      <c r="AG70" s="7">
        <f>VLOOKUP(G70,全部!C:AS,43,FALSE)</f>
        <v>20</v>
      </c>
      <c r="AH70" s="64" t="str">
        <f>IF(VLOOKUP(G70,全部!C:AT,44,FALSE)=0,"",VLOOKUP(G70,全部!C:AT,44,FALSE))</f>
        <v>亦庄</v>
      </c>
      <c r="AI70">
        <v>0</v>
      </c>
      <c r="AJ70" s="3">
        <v>41912.686261574097</v>
      </c>
      <c r="AK70" s="2" t="s">
        <v>2119</v>
      </c>
    </row>
    <row r="71" spans="1:37" x14ac:dyDescent="0.15">
      <c r="A71" s="2" t="s">
        <v>2118</v>
      </c>
      <c r="B71">
        <v>682</v>
      </c>
      <c r="C71" s="3">
        <v>41294</v>
      </c>
      <c r="D71" s="2" t="s">
        <v>37</v>
      </c>
      <c r="E71" s="2" t="s">
        <v>2117</v>
      </c>
      <c r="F71" s="2" t="s">
        <v>38</v>
      </c>
      <c r="G71" s="2" t="s">
        <v>180</v>
      </c>
      <c r="H71" s="2" t="s">
        <v>181</v>
      </c>
      <c r="I71" s="4">
        <f>VLOOKUP(G71,全部!C:M,11,FALSE)</f>
        <v>5145173.21</v>
      </c>
      <c r="J71" s="4">
        <f t="shared" si="1"/>
        <v>0</v>
      </c>
      <c r="K71" s="4">
        <f>VLOOKUP(计算!G71,全部!C:N,12,FALSE)</f>
        <v>0</v>
      </c>
      <c r="L71" s="5">
        <f>VLOOKUP(G71,全部!C:P,14,FALSE)</f>
        <v>0</v>
      </c>
      <c r="M71" s="5">
        <f>VLOOKUP(G71,全部!C:V,20,FALSE)*100</f>
        <v>3</v>
      </c>
      <c r="N71" s="6">
        <f>VLOOKUP(G71,全部!C:W,21,FALSE)</f>
        <v>154355.19629999998</v>
      </c>
      <c r="O71" s="4">
        <f>VLOOKUP(G71,全部!C:X,22,FALSE)</f>
        <v>154355</v>
      </c>
      <c r="P71" s="4">
        <f>VLOOKUP(G71,全部!C:Y,23,FALSE)</f>
        <v>154355</v>
      </c>
      <c r="Q71" s="6">
        <f>VLOOKUP(G71,全部!C:Z,24,FALSE)</f>
        <v>0</v>
      </c>
      <c r="R71" s="7">
        <f>VLOOKUP(G71,全部!C:AA,25,FALSE)</f>
        <v>4112000</v>
      </c>
      <c r="S71" s="7">
        <f>VLOOKUP(G71,全部!C:AB,26,FALSE)</f>
        <v>4112000</v>
      </c>
      <c r="T71" s="4">
        <f>VLOOKUP(计算!G71,全部!C:AC,27,FALSE)</f>
        <v>4112000</v>
      </c>
      <c r="U71" s="4">
        <f>VLOOKUP(G71,全部!C:AD,28,FALSE)</f>
        <v>4112000</v>
      </c>
      <c r="V71" s="6">
        <f>VLOOKUP(G71,全部!C:AE,29,FALSE)</f>
        <v>0.79919564068475746</v>
      </c>
      <c r="W71" s="4">
        <f>VLOOKUP(G71,全部!C:AF,30,FALSE)</f>
        <v>3963512.81</v>
      </c>
      <c r="X71" s="4">
        <f>VLOOKUP(G71,全部!C:AG,31,FALSE)</f>
        <v>3963512.81</v>
      </c>
      <c r="Y71" s="4">
        <f>VLOOKUP(计算!G71,全部!C:AH,32,FALSE)</f>
        <v>4103320.81</v>
      </c>
      <c r="Z71" s="4">
        <f>VLOOKUP(G71,全部!C:AL,36,FALSE)</f>
        <v>4103320.81</v>
      </c>
      <c r="AA71" s="4">
        <f>VLOOKUP(G71,全部!C:AM,37,FALSE)</f>
        <v>3.4000000000000002E-2</v>
      </c>
      <c r="AB71" s="6">
        <f>VLOOKUP(G71,全部!C:AN,38,FALSE)</f>
        <v>139808</v>
      </c>
      <c r="AC71" s="4">
        <f>VLOOKUP(G71,全部!C:AO,39,FALSE)</f>
        <v>139806</v>
      </c>
      <c r="AD71" s="4">
        <f>VLOOKUP(G71,全部!C:AP,40,FALSE)</f>
        <v>139806</v>
      </c>
      <c r="AE71" s="6">
        <f>VLOOKUP(G71,全部!C:AQ,41,FALSE)</f>
        <v>0</v>
      </c>
      <c r="AF71" s="4">
        <f>VLOOKUP(G71,全部!C:AR,42,FALSE)</f>
        <v>0</v>
      </c>
      <c r="AG71" s="7">
        <f>VLOOKUP(G71,全部!C:AS,43,FALSE)</f>
        <v>75</v>
      </c>
      <c r="AH71" s="64" t="str">
        <f>IF(VLOOKUP(G71,全部!C:AT,44,FALSE)=0,"",VLOOKUP(G71,全部!C:AT,44,FALSE))</f>
        <v>大兴</v>
      </c>
      <c r="AI71">
        <v>0</v>
      </c>
      <c r="AJ71" s="3">
        <v>41912.686261574097</v>
      </c>
      <c r="AK71" s="2" t="s">
        <v>2116</v>
      </c>
    </row>
    <row r="72" spans="1:37" x14ac:dyDescent="0.15">
      <c r="A72" s="2" t="s">
        <v>2115</v>
      </c>
      <c r="B72">
        <v>698</v>
      </c>
      <c r="C72" s="3">
        <v>41294</v>
      </c>
      <c r="D72" s="2" t="s">
        <v>37</v>
      </c>
      <c r="E72" s="2" t="s">
        <v>2114</v>
      </c>
      <c r="F72" s="2" t="s">
        <v>38</v>
      </c>
      <c r="G72" s="2" t="s">
        <v>182</v>
      </c>
      <c r="H72" s="2" t="s">
        <v>183</v>
      </c>
      <c r="I72" s="4">
        <f>VLOOKUP(G72,全部!C:M,11,FALSE)</f>
        <v>8338455</v>
      </c>
      <c r="J72" s="4">
        <f t="shared" si="1"/>
        <v>1516000</v>
      </c>
      <c r="K72" s="4">
        <f>VLOOKUP(计算!G72,全部!C:N,12,FALSE)</f>
        <v>1516000</v>
      </c>
      <c r="L72" s="5">
        <f>VLOOKUP(G72,全部!C:P,14,FALSE)</f>
        <v>0</v>
      </c>
      <c r="M72" s="5">
        <f>VLOOKUP(G72,全部!C:V,20,FALSE)*100</f>
        <v>3</v>
      </c>
      <c r="N72" s="6">
        <f>VLOOKUP(G72,全部!C:W,21,FALSE)</f>
        <v>295633.64999999997</v>
      </c>
      <c r="O72" s="4">
        <f>VLOOKUP(G72,全部!C:X,22,FALSE)</f>
        <v>295634</v>
      </c>
      <c r="P72" s="4">
        <f>VLOOKUP(G72,全部!C:Y,23,FALSE)</f>
        <v>295634</v>
      </c>
      <c r="Q72" s="6">
        <f>VLOOKUP(G72,全部!C:Z,24,FALSE)</f>
        <v>0</v>
      </c>
      <c r="R72" s="7">
        <f>VLOOKUP(G72,全部!C:AA,25,FALSE)</f>
        <v>4000000</v>
      </c>
      <c r="S72" s="7">
        <f>VLOOKUP(G72,全部!C:AB,26,FALSE)</f>
        <v>4000000</v>
      </c>
      <c r="T72" s="4">
        <f>VLOOKUP(计算!G72,全部!C:AC,27,FALSE)</f>
        <v>6000000</v>
      </c>
      <c r="U72" s="4">
        <f>VLOOKUP(G72,全部!C:AD,28,FALSE)</f>
        <v>6000000</v>
      </c>
      <c r="V72" s="6">
        <f>VLOOKUP(G72,全部!C:AE,29,FALSE)</f>
        <v>0.60886167728200091</v>
      </c>
      <c r="W72" s="4">
        <f>VLOOKUP(G72,全部!C:AF,30,FALSE)</f>
        <v>2634546</v>
      </c>
      <c r="X72" s="4">
        <f>VLOOKUP(G72,全部!C:AG,31,FALSE)</f>
        <v>2634546</v>
      </c>
      <c r="Y72" s="4">
        <f>VLOOKUP(计算!G72,全部!C:AH,32,FALSE)</f>
        <v>4265306</v>
      </c>
      <c r="Z72" s="4">
        <f>VLOOKUP(G72,全部!C:AL,36,FALSE)</f>
        <v>4265306</v>
      </c>
      <c r="AA72" s="4">
        <f>VLOOKUP(G72,全部!C:AM,37,FALSE)</f>
        <v>0</v>
      </c>
      <c r="AB72" s="6">
        <f>VLOOKUP(G72,全部!C:AN,38,FALSE)</f>
        <v>0</v>
      </c>
      <c r="AC72" s="4">
        <f>VLOOKUP(G72,全部!C:AO,39,FALSE)</f>
        <v>0</v>
      </c>
      <c r="AD72" s="4">
        <f>VLOOKUP(G72,全部!C:AP,40,FALSE)</f>
        <v>0</v>
      </c>
      <c r="AE72" s="6">
        <f>VLOOKUP(G72,全部!C:AQ,41,FALSE)</f>
        <v>0</v>
      </c>
      <c r="AF72" s="4">
        <f>VLOOKUP(G72,全部!C:AR,42,FALSE)</f>
        <v>0</v>
      </c>
      <c r="AG72" s="7">
        <f>VLOOKUP(G72,全部!C:AS,43,FALSE)</f>
        <v>75</v>
      </c>
      <c r="AH72" s="64" t="str">
        <f>IF(VLOOKUP(G72,全部!C:AT,44,FALSE)=0,"",VLOOKUP(G72,全部!C:AT,44,FALSE))</f>
        <v>亦庄</v>
      </c>
      <c r="AI72">
        <v>0</v>
      </c>
      <c r="AJ72" s="3">
        <v>41912.686261574097</v>
      </c>
      <c r="AK72" s="2" t="s">
        <v>2113</v>
      </c>
    </row>
    <row r="73" spans="1:37" x14ac:dyDescent="0.15">
      <c r="A73" s="2" t="s">
        <v>2112</v>
      </c>
      <c r="B73">
        <v>674</v>
      </c>
      <c r="C73" s="3">
        <v>41297</v>
      </c>
      <c r="D73" s="2" t="s">
        <v>37</v>
      </c>
      <c r="E73" s="2" t="s">
        <v>2111</v>
      </c>
      <c r="F73" s="2" t="s">
        <v>38</v>
      </c>
      <c r="G73" s="2" t="s">
        <v>184</v>
      </c>
      <c r="H73" s="2" t="s">
        <v>185</v>
      </c>
      <c r="I73" s="4">
        <f>VLOOKUP(G73,全部!C:M,11,FALSE)</f>
        <v>478942</v>
      </c>
      <c r="J73" s="4">
        <f t="shared" si="1"/>
        <v>19643</v>
      </c>
      <c r="K73" s="4">
        <f>VLOOKUP(计算!G73,全部!C:N,12,FALSE)</f>
        <v>19643</v>
      </c>
      <c r="L73" s="5">
        <f>VLOOKUP(G73,全部!C:P,14,FALSE)</f>
        <v>0</v>
      </c>
      <c r="M73" s="5">
        <f>VLOOKUP(G73,全部!C:V,20,FALSE)*100</f>
        <v>3.5999999999999996</v>
      </c>
      <c r="N73" s="6">
        <f>VLOOKUP(G73,全部!C:W,21,FALSE)</f>
        <v>17949.059999999998</v>
      </c>
      <c r="O73" s="4">
        <f>VLOOKUP(G73,全部!C:X,22,FALSE)</f>
        <v>17831</v>
      </c>
      <c r="P73" s="4">
        <f>VLOOKUP(G73,全部!C:Y,23,FALSE)</f>
        <v>17831</v>
      </c>
      <c r="Q73" s="6">
        <f>VLOOKUP(G73,全部!C:Z,24,FALSE)</f>
        <v>118.05999999999767</v>
      </c>
      <c r="R73" s="7">
        <f>VLOOKUP(G73,全部!C:AA,25,FALSE)</f>
        <v>498585</v>
      </c>
      <c r="S73" s="7">
        <f>VLOOKUP(G73,全部!C:AB,26,FALSE)</f>
        <v>498585</v>
      </c>
      <c r="T73" s="4">
        <f>VLOOKUP(计算!G73,全部!C:AC,27,FALSE)</f>
        <v>473655</v>
      </c>
      <c r="U73" s="4">
        <f>VLOOKUP(G73,全部!C:AD,28,FALSE)</f>
        <v>473655</v>
      </c>
      <c r="V73" s="6">
        <f>VLOOKUP(G73,全部!C:AE,29,FALSE)</f>
        <v>0.94999849574295259</v>
      </c>
      <c r="W73" s="4">
        <f>VLOOKUP(G73,全部!C:AF,30,FALSE)</f>
        <v>450000</v>
      </c>
      <c r="X73" s="4">
        <f>VLOOKUP(G73,全部!C:AG,31,FALSE)</f>
        <v>450000</v>
      </c>
      <c r="Y73" s="4">
        <f>VLOOKUP(计算!G73,全部!C:AH,32,FALSE)</f>
        <v>466952</v>
      </c>
      <c r="Z73" s="4">
        <f>VLOOKUP(G73,全部!C:AL,36,FALSE)</f>
        <v>466952</v>
      </c>
      <c r="AA73" s="4">
        <f>VLOOKUP(G73,全部!C:AM,37,FALSE)</f>
        <v>3.4000000000000002E-2</v>
      </c>
      <c r="AB73" s="6">
        <f>VLOOKUP(G73,全部!C:AN,38,FALSE)</f>
        <v>16951.89</v>
      </c>
      <c r="AC73" s="4">
        <f>VLOOKUP(G73,全部!C:AO,39,FALSE)</f>
        <v>16952</v>
      </c>
      <c r="AD73" s="4">
        <f>VLOOKUP(G73,全部!C:AP,40,FALSE)</f>
        <v>16952</v>
      </c>
      <c r="AE73" s="6">
        <f>VLOOKUP(G73,全部!C:AQ,41,FALSE)</f>
        <v>0</v>
      </c>
      <c r="AF73" s="4">
        <f>VLOOKUP(G73,全部!C:AR,42,FALSE)</f>
        <v>0</v>
      </c>
      <c r="AG73" s="7">
        <f>VLOOKUP(G73,全部!C:AS,43,FALSE)</f>
        <v>6</v>
      </c>
      <c r="AH73" s="64" t="str">
        <f>IF(VLOOKUP(G73,全部!C:AT,44,FALSE)=0,"",VLOOKUP(G73,全部!C:AT,44,FALSE))</f>
        <v>亦庄</v>
      </c>
      <c r="AI73">
        <v>0</v>
      </c>
      <c r="AJ73" s="3">
        <v>41912.686261574097</v>
      </c>
      <c r="AK73" s="2" t="s">
        <v>2110</v>
      </c>
    </row>
    <row r="74" spans="1:37" x14ac:dyDescent="0.15">
      <c r="A74" s="2" t="s">
        <v>2109</v>
      </c>
      <c r="B74">
        <v>705</v>
      </c>
      <c r="C74" s="3">
        <v>41299</v>
      </c>
      <c r="D74" s="2" t="s">
        <v>37</v>
      </c>
      <c r="E74" s="2" t="s">
        <v>2108</v>
      </c>
      <c r="F74" s="2" t="s">
        <v>38</v>
      </c>
      <c r="G74" s="2" t="s">
        <v>186</v>
      </c>
      <c r="H74" s="2" t="s">
        <v>187</v>
      </c>
      <c r="I74" s="4">
        <f>VLOOKUP(G74,全部!C:M,11,FALSE)</f>
        <v>1707600</v>
      </c>
      <c r="J74" s="4">
        <f t="shared" si="1"/>
        <v>0</v>
      </c>
      <c r="K74" s="4">
        <f>VLOOKUP(计算!G74,全部!C:N,12,FALSE)</f>
        <v>0</v>
      </c>
      <c r="L74" s="5">
        <f>VLOOKUP(G74,全部!C:P,14,FALSE)</f>
        <v>0</v>
      </c>
      <c r="M74" s="5">
        <f>VLOOKUP(G74,全部!C:V,20,FALSE)*100</f>
        <v>3</v>
      </c>
      <c r="N74" s="6">
        <f>VLOOKUP(G74,全部!C:W,21,FALSE)</f>
        <v>51228</v>
      </c>
      <c r="O74" s="4">
        <f>VLOOKUP(G74,全部!C:X,22,FALSE)</f>
        <v>51228</v>
      </c>
      <c r="P74" s="4">
        <f>VLOOKUP(G74,全部!C:Y,23,FALSE)</f>
        <v>51228</v>
      </c>
      <c r="Q74" s="6">
        <f>VLOOKUP(G74,全部!C:Z,24,FALSE)</f>
        <v>0</v>
      </c>
      <c r="R74" s="7">
        <f>VLOOKUP(G74,全部!C:AA,25,FALSE)</f>
        <v>1536840</v>
      </c>
      <c r="S74" s="7">
        <f>VLOOKUP(G74,全部!C:AB,26,FALSE)</f>
        <v>1536840</v>
      </c>
      <c r="T74" s="4">
        <f>VLOOKUP(计算!G74,全部!C:AC,27,FALSE)</f>
        <v>1536840</v>
      </c>
      <c r="U74" s="4">
        <f>VLOOKUP(G74,全部!C:AD,28,FALSE)</f>
        <v>1536840</v>
      </c>
      <c r="V74" s="6">
        <f>VLOOKUP(G74,全部!C:AE,29,FALSE)</f>
        <v>0.9</v>
      </c>
      <c r="W74" s="4">
        <f>VLOOKUP(G74,全部!C:AF,30,FALSE)</f>
        <v>1484089.7</v>
      </c>
      <c r="X74" s="4">
        <f>VLOOKUP(G74,全部!C:AG,31,FALSE)</f>
        <v>1484089.7</v>
      </c>
      <c r="Y74" s="4">
        <f>VLOOKUP(计算!G74,全部!C:AH,32,FALSE)</f>
        <v>1536342.7</v>
      </c>
      <c r="Z74" s="4">
        <f>VLOOKUP(G74,全部!C:AL,36,FALSE)</f>
        <v>1536342.7</v>
      </c>
      <c r="AA74" s="4">
        <f>VLOOKUP(G74,全部!C:AM,37,FALSE)</f>
        <v>3.4000000000000002E-2</v>
      </c>
      <c r="AB74" s="6">
        <f>VLOOKUP(G74,全部!C:AN,38,FALSE)</f>
        <v>52252.560000000005</v>
      </c>
      <c r="AC74" s="4">
        <f>VLOOKUP(G74,全部!C:AO,39,FALSE)</f>
        <v>52253</v>
      </c>
      <c r="AD74" s="4">
        <f>VLOOKUP(G74,全部!C:AP,40,FALSE)</f>
        <v>52253</v>
      </c>
      <c r="AE74" s="6">
        <f>VLOOKUP(G74,全部!C:AQ,41,FALSE)</f>
        <v>0</v>
      </c>
      <c r="AF74" s="4">
        <f>VLOOKUP(G74,全部!C:AR,42,FALSE)</f>
        <v>0</v>
      </c>
      <c r="AG74" s="7">
        <f>VLOOKUP(G74,全部!C:AS,43,FALSE)</f>
        <v>0</v>
      </c>
      <c r="AH74" s="64" t="str">
        <f>IF(VLOOKUP(G74,全部!C:AT,44,FALSE)=0,"",VLOOKUP(G74,全部!C:AT,44,FALSE))</f>
        <v/>
      </c>
      <c r="AI74">
        <v>0</v>
      </c>
      <c r="AJ74" s="3">
        <v>41912.686261574097</v>
      </c>
      <c r="AK74" s="2" t="s">
        <v>2107</v>
      </c>
    </row>
    <row r="75" spans="1:37" x14ac:dyDescent="0.15">
      <c r="A75" s="2" t="s">
        <v>2106</v>
      </c>
      <c r="B75">
        <v>690</v>
      </c>
      <c r="C75" s="3">
        <v>41299</v>
      </c>
      <c r="D75" s="2" t="s">
        <v>37</v>
      </c>
      <c r="E75" s="2" t="s">
        <v>2105</v>
      </c>
      <c r="F75" s="2" t="s">
        <v>38</v>
      </c>
      <c r="G75" s="2" t="s">
        <v>188</v>
      </c>
      <c r="H75" s="2" t="s">
        <v>189</v>
      </c>
      <c r="I75" s="4">
        <f>VLOOKUP(G75,全部!C:M,11,FALSE)</f>
        <v>5903500</v>
      </c>
      <c r="J75" s="4">
        <f t="shared" si="1"/>
        <v>0</v>
      </c>
      <c r="K75" s="4">
        <f>VLOOKUP(计算!G75,全部!C:N,12,FALSE)</f>
        <v>0</v>
      </c>
      <c r="L75" s="5">
        <f>VLOOKUP(G75,全部!C:P,14,FALSE)</f>
        <v>0</v>
      </c>
      <c r="M75" s="5">
        <f>VLOOKUP(G75,全部!C:V,20,FALSE)*100</f>
        <v>4</v>
      </c>
      <c r="N75" s="6">
        <f>VLOOKUP(G75,全部!C:W,21,FALSE)</f>
        <v>236140</v>
      </c>
      <c r="O75" s="4">
        <f>VLOOKUP(G75,全部!C:X,22,FALSE)</f>
        <v>236140</v>
      </c>
      <c r="P75" s="4">
        <f>VLOOKUP(G75,全部!C:Y,23,FALSE)</f>
        <v>236140</v>
      </c>
      <c r="Q75" s="6">
        <f>VLOOKUP(G75,全部!C:Z,24,FALSE)</f>
        <v>0</v>
      </c>
      <c r="R75" s="7">
        <f>VLOOKUP(G75,全部!C:AA,25,FALSE)</f>
        <v>5400000</v>
      </c>
      <c r="S75" s="7">
        <f>VLOOKUP(G75,全部!C:AB,26,FALSE)</f>
        <v>5400000</v>
      </c>
      <c r="T75" s="4">
        <f>VLOOKUP(计算!G75,全部!C:AC,27,FALSE)</f>
        <v>4000000</v>
      </c>
      <c r="U75" s="4">
        <f>VLOOKUP(G75,全部!C:AD,28,FALSE)</f>
        <v>4000000</v>
      </c>
      <c r="V75" s="6">
        <f>VLOOKUP(G75,全部!C:AE,29,FALSE)</f>
        <v>0.67756415685610227</v>
      </c>
      <c r="W75" s="4">
        <f>VLOOKUP(G75,全部!C:AF,30,FALSE)</f>
        <v>2706499.32</v>
      </c>
      <c r="X75" s="4">
        <f>VLOOKUP(G75,全部!C:AG,31,FALSE)</f>
        <v>2706499.32</v>
      </c>
      <c r="Y75" s="4">
        <f>VLOOKUP(计算!G75,全部!C:AH,32,FALSE)</f>
        <v>3999943.58</v>
      </c>
      <c r="Z75" s="4">
        <f>VLOOKUP(G75,全部!C:AL,36,FALSE)</f>
        <v>3999943.58</v>
      </c>
      <c r="AA75" s="4">
        <f>VLOOKUP(G75,全部!C:AM,37,FALSE)</f>
        <v>3.4000000000000002E-2</v>
      </c>
      <c r="AB75" s="6">
        <f>VLOOKUP(G75,全部!C:AN,38,FALSE)</f>
        <v>183600</v>
      </c>
      <c r="AC75" s="4">
        <f>VLOOKUP(G75,全部!C:AO,39,FALSE)</f>
        <v>183600</v>
      </c>
      <c r="AD75" s="4">
        <f>VLOOKUP(G75,全部!C:AP,40,FALSE)</f>
        <v>183600</v>
      </c>
      <c r="AE75" s="6">
        <f>VLOOKUP(G75,全部!C:AQ,41,FALSE)</f>
        <v>0</v>
      </c>
      <c r="AF75" s="4">
        <f>VLOOKUP(G75,全部!C:AR,42,FALSE)</f>
        <v>0</v>
      </c>
      <c r="AG75" s="7">
        <f>VLOOKUP(G75,全部!C:AS,43,FALSE)</f>
        <v>74</v>
      </c>
      <c r="AH75" s="64" t="str">
        <f>IF(VLOOKUP(G75,全部!C:AT,44,FALSE)=0,"",VLOOKUP(G75,全部!C:AT,44,FALSE))</f>
        <v>亦庄</v>
      </c>
      <c r="AI75">
        <v>0</v>
      </c>
      <c r="AJ75" s="3">
        <v>41912.686261574097</v>
      </c>
      <c r="AK75" s="2" t="s">
        <v>2104</v>
      </c>
    </row>
    <row r="76" spans="1:37" x14ac:dyDescent="0.15">
      <c r="A76" s="2" t="s">
        <v>2103</v>
      </c>
      <c r="B76">
        <v>713</v>
      </c>
      <c r="C76" s="3">
        <v>41303</v>
      </c>
      <c r="D76" s="2" t="s">
        <v>37</v>
      </c>
      <c r="E76" s="2" t="s">
        <v>2102</v>
      </c>
      <c r="F76" s="2" t="s">
        <v>38</v>
      </c>
      <c r="G76" s="2" t="s">
        <v>190</v>
      </c>
      <c r="H76" s="2" t="s">
        <v>191</v>
      </c>
      <c r="I76" s="4">
        <f>VLOOKUP(G76,全部!C:M,11,FALSE)</f>
        <v>3171737</v>
      </c>
      <c r="J76" s="4">
        <f t="shared" si="1"/>
        <v>0</v>
      </c>
      <c r="K76" s="4">
        <f>VLOOKUP(计算!G76,全部!C:N,12,FALSE)</f>
        <v>0</v>
      </c>
      <c r="L76" s="5">
        <f>VLOOKUP(G76,全部!C:P,14,FALSE)</f>
        <v>0</v>
      </c>
      <c r="M76" s="5">
        <f>VLOOKUP(G76,全部!C:V,20,FALSE)*100</f>
        <v>4</v>
      </c>
      <c r="N76" s="6">
        <f>VLOOKUP(G76,全部!C:W,21,FALSE)</f>
        <v>126869.48</v>
      </c>
      <c r="O76" s="4">
        <f>VLOOKUP(G76,全部!C:X,22,FALSE)</f>
        <v>126870</v>
      </c>
      <c r="P76" s="4">
        <f>VLOOKUP(G76,全部!C:Y,23,FALSE)</f>
        <v>126870</v>
      </c>
      <c r="Q76" s="6">
        <f>VLOOKUP(G76,全部!C:Z,24,FALSE)</f>
        <v>0</v>
      </c>
      <c r="R76" s="7">
        <f>VLOOKUP(G76,全部!C:AA,25,FALSE)</f>
        <v>3000000</v>
      </c>
      <c r="S76" s="7">
        <f>VLOOKUP(G76,全部!C:AB,26,FALSE)</f>
        <v>3000000</v>
      </c>
      <c r="T76" s="4">
        <f>VLOOKUP(计算!G76,全部!C:AC,27,FALSE)</f>
        <v>3000000</v>
      </c>
      <c r="U76" s="4">
        <f>VLOOKUP(G76,全部!C:AD,28,FALSE)</f>
        <v>3000000</v>
      </c>
      <c r="V76" s="6">
        <f>VLOOKUP(G76,全部!C:AE,29,FALSE)</f>
        <v>0.94585395951808116</v>
      </c>
      <c r="W76" s="4">
        <f>VLOOKUP(G76,全部!C:AF,30,FALSE)</f>
        <v>2209075.2000000002</v>
      </c>
      <c r="X76" s="4">
        <f>VLOOKUP(G76,全部!C:AG,31,FALSE)</f>
        <v>2209075.2000000002</v>
      </c>
      <c r="Y76" s="4">
        <f>VLOOKUP(计算!G76,全部!C:AH,32,FALSE)</f>
        <v>2947212.54</v>
      </c>
      <c r="Z76" s="4">
        <f>VLOOKUP(G76,全部!C:AL,36,FALSE)</f>
        <v>2947212.54</v>
      </c>
      <c r="AA76" s="4">
        <f>VLOOKUP(G76,全部!C:AM,37,FALSE)</f>
        <v>3.4000000000000002E-2</v>
      </c>
      <c r="AB76" s="6">
        <f>VLOOKUP(G76,全部!C:AN,38,FALSE)</f>
        <v>102000.00000000001</v>
      </c>
      <c r="AC76" s="4">
        <f>VLOOKUP(G76,全部!C:AO,39,FALSE)</f>
        <v>102000</v>
      </c>
      <c r="AD76" s="4">
        <f>VLOOKUP(G76,全部!C:AP,40,FALSE)</f>
        <v>102000</v>
      </c>
      <c r="AE76" s="6">
        <f>VLOOKUP(G76,全部!C:AQ,41,FALSE)</f>
        <v>0</v>
      </c>
      <c r="AF76" s="4">
        <f>VLOOKUP(G76,全部!C:AR,42,FALSE)</f>
        <v>0</v>
      </c>
      <c r="AG76" s="7">
        <f>VLOOKUP(G76,全部!C:AS,43,FALSE)</f>
        <v>40</v>
      </c>
      <c r="AH76" s="64" t="str">
        <f>IF(VLOOKUP(G76,全部!C:AT,44,FALSE)=0,"",VLOOKUP(G76,全部!C:AT,44,FALSE))</f>
        <v>亦庄</v>
      </c>
      <c r="AI76">
        <v>0</v>
      </c>
      <c r="AJ76" s="3">
        <v>41912.686261574097</v>
      </c>
      <c r="AK76" s="2" t="s">
        <v>2101</v>
      </c>
    </row>
    <row r="77" spans="1:37" x14ac:dyDescent="0.15">
      <c r="A77" s="2" t="s">
        <v>2100</v>
      </c>
      <c r="B77">
        <v>722</v>
      </c>
      <c r="C77" s="3">
        <v>41304</v>
      </c>
      <c r="D77" s="2" t="s">
        <v>37</v>
      </c>
      <c r="E77" s="2" t="s">
        <v>2099</v>
      </c>
      <c r="F77" s="2" t="s">
        <v>38</v>
      </c>
      <c r="G77" s="2" t="s">
        <v>192</v>
      </c>
      <c r="H77" s="2" t="s">
        <v>193</v>
      </c>
      <c r="I77" s="4">
        <f>VLOOKUP(G77,全部!C:M,11,FALSE)</f>
        <v>3688900</v>
      </c>
      <c r="J77" s="4">
        <f t="shared" si="1"/>
        <v>2437951.61</v>
      </c>
      <c r="K77" s="4">
        <f>VLOOKUP(计算!G77,全部!C:N,12,FALSE)</f>
        <v>2437951.61</v>
      </c>
      <c r="L77" s="5">
        <f>VLOOKUP(G77,全部!C:P,14,FALSE)</f>
        <v>0</v>
      </c>
      <c r="M77" s="5">
        <f>VLOOKUP(G77,全部!C:V,20,FALSE)*100</f>
        <v>4</v>
      </c>
      <c r="N77" s="6">
        <f>VLOOKUP(G77,全部!C:W,21,FALSE)</f>
        <v>245074.06439999997</v>
      </c>
      <c r="O77" s="4">
        <f>VLOOKUP(G77,全部!C:X,22,FALSE)</f>
        <v>245074</v>
      </c>
      <c r="P77" s="4">
        <f>VLOOKUP(G77,全部!C:Y,23,FALSE)</f>
        <v>245074</v>
      </c>
      <c r="Q77" s="6">
        <f>VLOOKUP(G77,全部!C:Z,24,FALSE)</f>
        <v>0</v>
      </c>
      <c r="R77" s="7">
        <f>VLOOKUP(G77,全部!C:AA,25,FALSE)</f>
        <v>4400000</v>
      </c>
      <c r="S77" s="7">
        <f>VLOOKUP(G77,全部!C:AB,26,FALSE)</f>
        <v>4400000</v>
      </c>
      <c r="T77" s="4">
        <f>VLOOKUP(计算!G77,全部!C:AC,27,FALSE)</f>
        <v>4400000</v>
      </c>
      <c r="U77" s="4">
        <f>VLOOKUP(G77,全部!C:AD,28,FALSE)</f>
        <v>4400000</v>
      </c>
      <c r="V77" s="6">
        <f>VLOOKUP(G77,全部!C:AE,29,FALSE)</f>
        <v>0.71815024748085921</v>
      </c>
      <c r="W77" s="4">
        <f>VLOOKUP(G77,全部!C:AF,30,FALSE)</f>
        <v>3910369.0700000003</v>
      </c>
      <c r="X77" s="4">
        <f>VLOOKUP(G77,全部!C:AG,31,FALSE)</f>
        <v>3910369.07</v>
      </c>
      <c r="Y77" s="4">
        <f>VLOOKUP(计算!G77,全部!C:AH,32,FALSE)</f>
        <v>4363087.07</v>
      </c>
      <c r="Z77" s="4">
        <f>VLOOKUP(G77,全部!C:AL,36,FALSE)</f>
        <v>4363087.07</v>
      </c>
      <c r="AA77" s="4">
        <f>VLOOKUP(G77,全部!C:AM,37,FALSE)</f>
        <v>3.4000000000000002E-2</v>
      </c>
      <c r="AB77" s="6">
        <f>VLOOKUP(G77,全部!C:AN,38,FALSE)</f>
        <v>149600</v>
      </c>
      <c r="AC77" s="4">
        <f>VLOOKUP(G77,全部!C:AO,39,FALSE)</f>
        <v>149600</v>
      </c>
      <c r="AD77" s="4">
        <f>VLOOKUP(G77,全部!C:AP,40,FALSE)</f>
        <v>149600</v>
      </c>
      <c r="AE77" s="6">
        <f>VLOOKUP(G77,全部!C:AQ,41,FALSE)</f>
        <v>0</v>
      </c>
      <c r="AF77" s="4">
        <f>VLOOKUP(G77,全部!C:AR,42,FALSE)</f>
        <v>0</v>
      </c>
      <c r="AG77" s="7">
        <f>VLOOKUP(G77,全部!C:AS,43,FALSE)</f>
        <v>78</v>
      </c>
      <c r="AH77" s="64" t="str">
        <f>IF(VLOOKUP(G77,全部!C:AT,44,FALSE)=0,"",VLOOKUP(G77,全部!C:AT,44,FALSE))</f>
        <v>亦庄</v>
      </c>
      <c r="AI77">
        <v>0</v>
      </c>
      <c r="AJ77" s="3">
        <v>41912.686261574097</v>
      </c>
      <c r="AK77" s="2" t="s">
        <v>2098</v>
      </c>
    </row>
    <row r="78" spans="1:37" x14ac:dyDescent="0.15">
      <c r="A78" s="2" t="s">
        <v>2097</v>
      </c>
      <c r="B78">
        <v>104</v>
      </c>
      <c r="C78" s="3">
        <v>41306</v>
      </c>
      <c r="D78" s="2" t="s">
        <v>37</v>
      </c>
      <c r="E78" s="2" t="s">
        <v>2096</v>
      </c>
      <c r="F78" s="2" t="s">
        <v>41</v>
      </c>
      <c r="G78" s="2" t="s">
        <v>194</v>
      </c>
      <c r="H78" s="2" t="s">
        <v>195</v>
      </c>
      <c r="I78" s="4">
        <f>VLOOKUP(G78,全部!C:M,11,FALSE)</f>
        <v>24479188</v>
      </c>
      <c r="J78" s="4">
        <f t="shared" si="1"/>
        <v>0</v>
      </c>
      <c r="K78" s="4">
        <f>VLOOKUP(计算!G78,全部!C:N,12,FALSE)</f>
        <v>0</v>
      </c>
      <c r="L78" s="5">
        <f>VLOOKUP(G78,全部!C:P,14,FALSE)</f>
        <v>0</v>
      </c>
      <c r="M78" s="5">
        <f>VLOOKUP(G78,全部!C:V,20,FALSE)*100</f>
        <v>3.5000000000000004</v>
      </c>
      <c r="N78" s="6">
        <f>VLOOKUP(G78,全部!C:W,21,FALSE)</f>
        <v>856771.58000000007</v>
      </c>
      <c r="O78" s="4">
        <f>VLOOKUP(G78,全部!C:X,22,FALSE)</f>
        <v>856771.58</v>
      </c>
      <c r="P78" s="4">
        <f>VLOOKUP(G78,全部!C:Y,23,FALSE)</f>
        <v>856771.58</v>
      </c>
      <c r="Q78" s="6">
        <f>VLOOKUP(G78,全部!C:Z,24,FALSE)</f>
        <v>0</v>
      </c>
      <c r="R78" s="7">
        <f>VLOOKUP(G78,全部!C:AA,25,FALSE)</f>
        <v>0</v>
      </c>
      <c r="S78" s="7">
        <f>VLOOKUP(G78,全部!C:AB,26,FALSE)</f>
        <v>0</v>
      </c>
      <c r="T78" s="4">
        <f>VLOOKUP(计算!G78,全部!C:AC,27,FALSE)</f>
        <v>14834162.02</v>
      </c>
      <c r="U78" s="4">
        <f>VLOOKUP(G78,全部!C:AD,28,FALSE)</f>
        <v>14834162.02</v>
      </c>
      <c r="V78" s="6">
        <f>VLOOKUP(G78,全部!C:AE,29,FALSE)</f>
        <v>0.60599077142591495</v>
      </c>
      <c r="W78" s="4">
        <f>VLOOKUP(G78,全部!C:AF,30,FALSE)</f>
        <v>0</v>
      </c>
      <c r="X78" s="4">
        <f>VLOOKUP(G78,全部!C:AG,31,FALSE)</f>
        <v>0</v>
      </c>
      <c r="Y78" s="4">
        <f>VLOOKUP(计算!G78,全部!C:AH,32,FALSE)</f>
        <v>14128142.74</v>
      </c>
      <c r="Z78" s="4">
        <f>VLOOKUP(G78,全部!C:AL,36,FALSE)</f>
        <v>14128142.74</v>
      </c>
      <c r="AA78" s="4">
        <f>VLOOKUP(G78,全部!C:AM,37,FALSE)</f>
        <v>3.6999999999999998E-2</v>
      </c>
      <c r="AB78" s="6">
        <f>VLOOKUP(G78,全部!C:AN,38,FALSE)</f>
        <v>905729.95600000001</v>
      </c>
      <c r="AC78" s="4">
        <f>VLOOKUP(G78,全部!C:AO,39,FALSE)</f>
        <v>603593.67000000004</v>
      </c>
      <c r="AD78" s="4">
        <f>VLOOKUP(G78,全部!C:AP,40,FALSE)</f>
        <v>603593.67000000004</v>
      </c>
      <c r="AE78" s="6">
        <f>VLOOKUP(G78,全部!C:AQ,41,FALSE)</f>
        <v>302136.28599999996</v>
      </c>
      <c r="AF78" s="4">
        <f>VLOOKUP(G78,全部!C:AR,42,FALSE)</f>
        <v>0</v>
      </c>
      <c r="AG78" s="7">
        <f>VLOOKUP(G78,全部!C:AS,43,FALSE)</f>
        <v>0</v>
      </c>
      <c r="AH78" s="64" t="str">
        <f>IF(VLOOKUP(G78,全部!C:AT,44,FALSE)=0,"",VLOOKUP(G78,全部!C:AT,44,FALSE))</f>
        <v/>
      </c>
      <c r="AI78">
        <v>0</v>
      </c>
      <c r="AJ78" s="3">
        <v>41912.6862384259</v>
      </c>
      <c r="AK78" s="2" t="s">
        <v>2095</v>
      </c>
    </row>
    <row r="79" spans="1:37" x14ac:dyDescent="0.15">
      <c r="A79" s="2" t="s">
        <v>2094</v>
      </c>
      <c r="B79">
        <v>730</v>
      </c>
      <c r="C79" s="3">
        <v>41330</v>
      </c>
      <c r="D79" s="2" t="s">
        <v>37</v>
      </c>
      <c r="E79" s="2" t="s">
        <v>2093</v>
      </c>
      <c r="F79" s="2" t="s">
        <v>38</v>
      </c>
      <c r="G79" s="2" t="s">
        <v>196</v>
      </c>
      <c r="H79" s="2" t="s">
        <v>197</v>
      </c>
      <c r="I79" s="4">
        <f>VLOOKUP(G79,全部!C:M,11,FALSE)</f>
        <v>10242431.93</v>
      </c>
      <c r="J79" s="4">
        <f t="shared" si="1"/>
        <v>0</v>
      </c>
      <c r="K79" s="4">
        <f>VLOOKUP(计算!G79,全部!C:N,12,FALSE)</f>
        <v>0</v>
      </c>
      <c r="L79" s="5">
        <f>VLOOKUP(G79,全部!C:P,14,FALSE)</f>
        <v>0</v>
      </c>
      <c r="M79" s="5">
        <f>VLOOKUP(G79,全部!C:V,20,FALSE)*100</f>
        <v>3</v>
      </c>
      <c r="N79" s="6">
        <f>VLOOKUP(G79,全部!C:W,21,FALSE)</f>
        <v>307272.95789999998</v>
      </c>
      <c r="O79" s="4">
        <f>VLOOKUP(G79,全部!C:X,22,FALSE)</f>
        <v>307273</v>
      </c>
      <c r="P79" s="4">
        <f>VLOOKUP(G79,全部!C:Y,23,FALSE)</f>
        <v>307273</v>
      </c>
      <c r="Q79" s="6">
        <f>VLOOKUP(G79,全部!C:Z,24,FALSE)</f>
        <v>0</v>
      </c>
      <c r="R79" s="7">
        <f>VLOOKUP(G79,全部!C:AA,25,FALSE)</f>
        <v>5355000</v>
      </c>
      <c r="S79" s="7">
        <f>VLOOKUP(G79,全部!C:AB,26,FALSE)</f>
        <v>5355000</v>
      </c>
      <c r="T79" s="4">
        <f>VLOOKUP(计算!G79,全部!C:AC,27,FALSE)</f>
        <v>5355000</v>
      </c>
      <c r="U79" s="4">
        <f>VLOOKUP(G79,全部!C:AD,28,FALSE)</f>
        <v>5355000</v>
      </c>
      <c r="V79" s="6">
        <f>VLOOKUP(G79,全部!C:AE,29,FALSE)</f>
        <v>0.52282505137429802</v>
      </c>
      <c r="W79" s="4">
        <f>VLOOKUP(G79,全部!C:AF,30,FALSE)</f>
        <v>4746409.25</v>
      </c>
      <c r="X79" s="4">
        <f>VLOOKUP(G79,全部!C:AG,31,FALSE)</f>
        <v>4746409.25</v>
      </c>
      <c r="Y79" s="4">
        <f>VLOOKUP(计算!G79,全部!C:AH,32,FALSE)</f>
        <v>5006374.95</v>
      </c>
      <c r="Z79" s="4">
        <f>VLOOKUP(G79,全部!C:AL,36,FALSE)</f>
        <v>5006374.95</v>
      </c>
      <c r="AA79" s="4">
        <f>VLOOKUP(G79,全部!C:AM,37,FALSE)</f>
        <v>3.4000000000000002E-2</v>
      </c>
      <c r="AB79" s="6">
        <f>VLOOKUP(G79,全部!C:AN,38,FALSE)</f>
        <v>182070</v>
      </c>
      <c r="AC79" s="4">
        <f>VLOOKUP(G79,全部!C:AO,39,FALSE)</f>
        <v>182070</v>
      </c>
      <c r="AD79" s="4">
        <f>VLOOKUP(G79,全部!C:AP,40,FALSE)</f>
        <v>182070</v>
      </c>
      <c r="AE79" s="6">
        <f>VLOOKUP(G79,全部!C:AQ,41,FALSE)</f>
        <v>0</v>
      </c>
      <c r="AF79" s="4">
        <f>VLOOKUP(G79,全部!C:AR,42,FALSE)</f>
        <v>0</v>
      </c>
      <c r="AG79" s="7">
        <f>VLOOKUP(G79,全部!C:AS,43,FALSE)</f>
        <v>150</v>
      </c>
      <c r="AH79" s="64" t="str">
        <f>IF(VLOOKUP(G79,全部!C:AT,44,FALSE)=0,"",VLOOKUP(G79,全部!C:AT,44,FALSE))</f>
        <v>管庄</v>
      </c>
      <c r="AI79">
        <v>0</v>
      </c>
      <c r="AJ79" s="3">
        <v>41912.686261574097</v>
      </c>
      <c r="AK79" s="2" t="s">
        <v>2092</v>
      </c>
    </row>
    <row r="80" spans="1:37" x14ac:dyDescent="0.15">
      <c r="A80" s="2" t="s">
        <v>2091</v>
      </c>
      <c r="B80">
        <v>737</v>
      </c>
      <c r="C80" s="3">
        <v>41334</v>
      </c>
      <c r="D80" s="2" t="s">
        <v>37</v>
      </c>
      <c r="E80" s="2" t="s">
        <v>2090</v>
      </c>
      <c r="F80" s="2" t="s">
        <v>38</v>
      </c>
      <c r="G80" s="2" t="s">
        <v>198</v>
      </c>
      <c r="H80" s="2" t="s">
        <v>199</v>
      </c>
      <c r="I80" s="4">
        <f>VLOOKUP(G80,全部!C:M,11,FALSE)</f>
        <v>10182154.199999999</v>
      </c>
      <c r="J80" s="4">
        <f t="shared" si="1"/>
        <v>0</v>
      </c>
      <c r="K80" s="4">
        <f>VLOOKUP(计算!G80,全部!C:N,12,FALSE)</f>
        <v>0</v>
      </c>
      <c r="L80" s="5">
        <f>VLOOKUP(G80,全部!C:P,14,FALSE)</f>
        <v>0</v>
      </c>
      <c r="M80" s="5">
        <f>VLOOKUP(G80,全部!C:V,20,FALSE)*100</f>
        <v>3</v>
      </c>
      <c r="N80" s="6">
        <f>VLOOKUP(G80,全部!C:W,21,FALSE)</f>
        <v>305464.62599999999</v>
      </c>
      <c r="O80" s="4">
        <f>VLOOKUP(G80,全部!C:X,22,FALSE)</f>
        <v>305465</v>
      </c>
      <c r="P80" s="4">
        <f>VLOOKUP(G80,全部!C:Y,23,FALSE)</f>
        <v>305465</v>
      </c>
      <c r="Q80" s="6">
        <f>VLOOKUP(G80,全部!C:Z,24,FALSE)</f>
        <v>0</v>
      </c>
      <c r="R80" s="7">
        <f>VLOOKUP(G80,全部!C:AA,25,FALSE)</f>
        <v>6658381.3199999994</v>
      </c>
      <c r="S80" s="7">
        <f>VLOOKUP(G80,全部!C:AB,26,FALSE)</f>
        <v>6658381.3200000003</v>
      </c>
      <c r="T80" s="4">
        <f>VLOOKUP(计算!G80,全部!C:AC,27,FALSE)</f>
        <v>6658381.3199999994</v>
      </c>
      <c r="U80" s="4">
        <f>VLOOKUP(G80,全部!C:AD,28,FALSE)</f>
        <v>6658381.3200000003</v>
      </c>
      <c r="V80" s="6">
        <f>VLOOKUP(G80,全部!C:AE,29,FALSE)</f>
        <v>0.65392658461212461</v>
      </c>
      <c r="W80" s="4">
        <f>VLOOKUP(G80,全部!C:AF,30,FALSE)</f>
        <v>5550984.4000000004</v>
      </c>
      <c r="X80" s="4">
        <f>VLOOKUP(G80,全部!C:AG,31,FALSE)</f>
        <v>5550984.4000000004</v>
      </c>
      <c r="Y80" s="4">
        <f>VLOOKUP(计算!G80,全部!C:AH,32,FALSE)</f>
        <v>6656819.7599999998</v>
      </c>
      <c r="Z80" s="4">
        <f>VLOOKUP(G80,全部!C:AL,36,FALSE)</f>
        <v>66566819.759999998</v>
      </c>
      <c r="AA80" s="4">
        <f>VLOOKUP(G80,全部!C:AM,37,FALSE)</f>
        <v>0</v>
      </c>
      <c r="AB80" s="6">
        <f>VLOOKUP(G80,全部!C:AN,38,FALSE)</f>
        <v>0</v>
      </c>
      <c r="AC80" s="4">
        <f>VLOOKUP(G80,全部!C:AO,39,FALSE)</f>
        <v>0</v>
      </c>
      <c r="AD80" s="4">
        <f>VLOOKUP(G80,全部!C:AP,40,FALSE)</f>
        <v>0</v>
      </c>
      <c r="AE80" s="6">
        <f>VLOOKUP(G80,全部!C:AQ,41,FALSE)</f>
        <v>0</v>
      </c>
      <c r="AF80" s="4">
        <f>VLOOKUP(G80,全部!C:AR,42,FALSE)</f>
        <v>0</v>
      </c>
      <c r="AG80" s="7">
        <f>VLOOKUP(G80,全部!C:AS,43,FALSE)</f>
        <v>123</v>
      </c>
      <c r="AH80" s="64" t="str">
        <f>IF(VLOOKUP(G80,全部!C:AT,44,FALSE)=0,"",VLOOKUP(G80,全部!C:AT,44,FALSE))</f>
        <v>亦庄</v>
      </c>
      <c r="AI80">
        <v>0</v>
      </c>
      <c r="AJ80" s="3">
        <v>41912.686261574097</v>
      </c>
      <c r="AK80" s="2" t="s">
        <v>2089</v>
      </c>
    </row>
    <row r="81" spans="1:37" x14ac:dyDescent="0.15">
      <c r="A81" s="2" t="s">
        <v>2088</v>
      </c>
      <c r="B81">
        <v>108</v>
      </c>
      <c r="C81" s="3">
        <v>41334</v>
      </c>
      <c r="D81" s="2" t="s">
        <v>37</v>
      </c>
      <c r="E81" s="2" t="s">
        <v>2087</v>
      </c>
      <c r="F81" s="2" t="s">
        <v>41</v>
      </c>
      <c r="G81" s="2" t="s">
        <v>200</v>
      </c>
      <c r="H81" s="2" t="s">
        <v>201</v>
      </c>
      <c r="I81" s="4">
        <f>VLOOKUP(G81,全部!C:M,11,FALSE)</f>
        <v>735929</v>
      </c>
      <c r="J81" s="4">
        <f t="shared" si="1"/>
        <v>0</v>
      </c>
      <c r="K81" s="4">
        <f>VLOOKUP(计算!G81,全部!C:N,12,FALSE)</f>
        <v>0</v>
      </c>
      <c r="L81" s="5">
        <f>VLOOKUP(G81,全部!C:P,14,FALSE)</f>
        <v>0</v>
      </c>
      <c r="M81" s="5">
        <f>VLOOKUP(G81,全部!C:V,20,FALSE)*100</f>
        <v>4</v>
      </c>
      <c r="N81" s="6">
        <f>VLOOKUP(G81,全部!C:W,21,FALSE)</f>
        <v>32437.16</v>
      </c>
      <c r="O81" s="4">
        <f>VLOOKUP(G81,全部!C:X,22,FALSE)</f>
        <v>32438</v>
      </c>
      <c r="P81" s="4">
        <f>VLOOKUP(G81,全部!C:Y,23,FALSE)</f>
        <v>32438</v>
      </c>
      <c r="Q81" s="6">
        <f>VLOOKUP(G81,全部!C:Z,24,FALSE)</f>
        <v>-0.84000000000014552</v>
      </c>
      <c r="R81" s="7">
        <f>VLOOKUP(G81,全部!C:AA,25,FALSE)</f>
        <v>0</v>
      </c>
      <c r="S81" s="7">
        <f>VLOOKUP(G81,全部!C:AB,26,FALSE)</f>
        <v>0</v>
      </c>
      <c r="T81" s="4">
        <f>VLOOKUP(计算!G81,全部!C:AC,27,FALSE)</f>
        <v>369939.53</v>
      </c>
      <c r="U81" s="4">
        <f>VLOOKUP(G81,全部!C:AD,28,FALSE)</f>
        <v>369939.53</v>
      </c>
      <c r="V81" s="6">
        <f>VLOOKUP(G81,全部!C:AE,29,FALSE)</f>
        <v>0.50268372356572444</v>
      </c>
      <c r="W81" s="4">
        <f>VLOOKUP(G81,全部!C:AF,30,FALSE)</f>
        <v>0</v>
      </c>
      <c r="X81" s="4">
        <f>VLOOKUP(G81,全部!C:AG,31,FALSE)</f>
        <v>0</v>
      </c>
      <c r="Y81" s="4">
        <f>VLOOKUP(计算!G81,全部!C:AH,32,FALSE)</f>
        <v>369384</v>
      </c>
      <c r="Z81" s="4">
        <f>VLOOKUP(G81,全部!C:AL,36,FALSE)</f>
        <v>369384</v>
      </c>
      <c r="AA81" s="4">
        <f>VLOOKUP(G81,全部!C:AM,37,FALSE)</f>
        <v>0</v>
      </c>
      <c r="AB81" s="6">
        <f>VLOOKUP(G81,全部!C:AN,38,FALSE)</f>
        <v>0</v>
      </c>
      <c r="AC81" s="4">
        <f>VLOOKUP(G81,全部!C:AO,39,FALSE)</f>
        <v>0</v>
      </c>
      <c r="AD81" s="4">
        <f>VLOOKUP(G81,全部!C:AP,40,FALSE)</f>
        <v>0</v>
      </c>
      <c r="AE81" s="6">
        <f>VLOOKUP(G81,全部!C:AQ,41,FALSE)</f>
        <v>0</v>
      </c>
      <c r="AF81" s="4">
        <f>VLOOKUP(G81,全部!C:AR,42,FALSE)</f>
        <v>0</v>
      </c>
      <c r="AG81" s="7">
        <f>VLOOKUP(G81,全部!C:AS,43,FALSE)</f>
        <v>0</v>
      </c>
      <c r="AH81" s="64" t="str">
        <f>IF(VLOOKUP(G81,全部!C:AT,44,FALSE)=0,"",VLOOKUP(G81,全部!C:AT,44,FALSE))</f>
        <v/>
      </c>
      <c r="AI81">
        <v>0</v>
      </c>
      <c r="AJ81" s="3">
        <v>41912.6862384259</v>
      </c>
      <c r="AK81" s="2" t="s">
        <v>2086</v>
      </c>
    </row>
    <row r="82" spans="1:37" x14ac:dyDescent="0.15">
      <c r="A82" s="2" t="s">
        <v>2085</v>
      </c>
      <c r="B82">
        <v>748</v>
      </c>
      <c r="C82" s="3">
        <v>41361</v>
      </c>
      <c r="D82" s="2" t="s">
        <v>37</v>
      </c>
      <c r="E82" s="2" t="s">
        <v>2084</v>
      </c>
      <c r="F82" s="2" t="s">
        <v>38</v>
      </c>
      <c r="G82" s="2" t="s">
        <v>202</v>
      </c>
      <c r="H82" s="2" t="s">
        <v>203</v>
      </c>
      <c r="I82" s="4">
        <f>VLOOKUP(G82,全部!C:M,11,FALSE)</f>
        <v>1995000</v>
      </c>
      <c r="J82" s="4">
        <f t="shared" si="1"/>
        <v>0</v>
      </c>
      <c r="K82" s="4">
        <f>VLOOKUP(计算!G82,全部!C:N,12,FALSE)</f>
        <v>0</v>
      </c>
      <c r="L82" s="5">
        <f>VLOOKUP(G82,全部!C:P,14,FALSE)</f>
        <v>0</v>
      </c>
      <c r="M82" s="5">
        <f>VLOOKUP(G82,全部!C:V,20,FALSE)*100</f>
        <v>3.5999999999999996</v>
      </c>
      <c r="N82" s="6">
        <f>VLOOKUP(G82,全部!C:W,21,FALSE)</f>
        <v>71820</v>
      </c>
      <c r="O82" s="4">
        <f>VLOOKUP(G82,全部!C:X,22,FALSE)</f>
        <v>0</v>
      </c>
      <c r="P82" s="4">
        <f>VLOOKUP(G82,全部!C:Y,23,FALSE)</f>
        <v>0</v>
      </c>
      <c r="Q82" s="6">
        <f>VLOOKUP(G82,全部!C:Z,24,FALSE)</f>
        <v>71820</v>
      </c>
      <c r="R82" s="7">
        <f>VLOOKUP(G82,全部!C:AA,25,FALSE)</f>
        <v>0</v>
      </c>
      <c r="S82" s="7">
        <f>VLOOKUP(G82,全部!C:AB,26,FALSE)</f>
        <v>0</v>
      </c>
      <c r="T82" s="4">
        <f>VLOOKUP(计算!G82,全部!C:AC,27,FALSE)</f>
        <v>0</v>
      </c>
      <c r="U82" s="4">
        <f>VLOOKUP(G82,全部!C:AD,28,FALSE)</f>
        <v>0</v>
      </c>
      <c r="V82" s="6">
        <f>VLOOKUP(G82,全部!C:AE,29,FALSE)</f>
        <v>0</v>
      </c>
      <c r="W82" s="4">
        <f>VLOOKUP(G82,全部!C:AF,30,FALSE)</f>
        <v>0</v>
      </c>
      <c r="X82" s="4">
        <f>VLOOKUP(G82,全部!C:AG,31,FALSE)</f>
        <v>0</v>
      </c>
      <c r="Y82" s="4">
        <f>VLOOKUP(计算!G82,全部!C:AH,32,FALSE)</f>
        <v>0</v>
      </c>
      <c r="Z82" s="4">
        <f>VLOOKUP(G82,全部!C:AL,36,FALSE)</f>
        <v>0</v>
      </c>
      <c r="AA82" s="4">
        <f>VLOOKUP(G82,全部!C:AM,37,FALSE)</f>
        <v>3.4000000000000002E-2</v>
      </c>
      <c r="AB82" s="6">
        <f>VLOOKUP(G82,全部!C:AN,38,FALSE)</f>
        <v>0</v>
      </c>
      <c r="AC82" s="4">
        <f>VLOOKUP(G82,全部!C:AO,39,FALSE)</f>
        <v>0</v>
      </c>
      <c r="AD82" s="4">
        <f>VLOOKUP(G82,全部!C:AP,40,FALSE)</f>
        <v>0</v>
      </c>
      <c r="AE82" s="6">
        <f>VLOOKUP(G82,全部!C:AQ,41,FALSE)</f>
        <v>0</v>
      </c>
      <c r="AF82" s="4">
        <f>VLOOKUP(G82,全部!C:AR,42,FALSE)</f>
        <v>0</v>
      </c>
      <c r="AG82" s="7">
        <f>VLOOKUP(G82,全部!C:AS,43,FALSE)</f>
        <v>26</v>
      </c>
      <c r="AH82" s="64" t="str">
        <f>IF(VLOOKUP(G82,全部!C:AT,44,FALSE)=0,"",VLOOKUP(G82,全部!C:AT,44,FALSE))</f>
        <v>管庄</v>
      </c>
      <c r="AI82">
        <v>0</v>
      </c>
      <c r="AJ82" s="3">
        <v>41912.686261574097</v>
      </c>
      <c r="AK82" s="2" t="s">
        <v>2083</v>
      </c>
    </row>
    <row r="83" spans="1:37" x14ac:dyDescent="0.15">
      <c r="A83" s="2" t="s">
        <v>2082</v>
      </c>
      <c r="B83">
        <v>756</v>
      </c>
      <c r="C83" s="3">
        <v>41361</v>
      </c>
      <c r="D83" s="2" t="s">
        <v>37</v>
      </c>
      <c r="E83" s="2" t="s">
        <v>2081</v>
      </c>
      <c r="F83" s="2" t="s">
        <v>38</v>
      </c>
      <c r="G83" s="2" t="s">
        <v>204</v>
      </c>
      <c r="H83" s="2" t="s">
        <v>205</v>
      </c>
      <c r="I83" s="4">
        <f>VLOOKUP(G83,全部!C:M,11,FALSE)</f>
        <v>9000000</v>
      </c>
      <c r="J83" s="4">
        <f t="shared" si="1"/>
        <v>0</v>
      </c>
      <c r="K83" s="4">
        <f>VLOOKUP(计算!G83,全部!C:N,12,FALSE)</f>
        <v>0</v>
      </c>
      <c r="L83" s="5">
        <f>VLOOKUP(G83,全部!C:P,14,FALSE)</f>
        <v>0</v>
      </c>
      <c r="M83" s="5">
        <f>VLOOKUP(G83,全部!C:V,20,FALSE)*100</f>
        <v>3</v>
      </c>
      <c r="N83" s="6">
        <f>VLOOKUP(G83,全部!C:W,21,FALSE)</f>
        <v>270000</v>
      </c>
      <c r="O83" s="4">
        <f>VLOOKUP(G83,全部!C:X,22,FALSE)</f>
        <v>210000</v>
      </c>
      <c r="P83" s="4">
        <f>VLOOKUP(G83,全部!C:Y,23,FALSE)</f>
        <v>210000</v>
      </c>
      <c r="Q83" s="6">
        <f>VLOOKUP(G83,全部!C:Z,24,FALSE)</f>
        <v>60000</v>
      </c>
      <c r="R83" s="7">
        <f>VLOOKUP(G83,全部!C:AA,25,FALSE)</f>
        <v>9000000</v>
      </c>
      <c r="S83" s="7">
        <f>VLOOKUP(G83,全部!C:AB,26,FALSE)</f>
        <v>9000000</v>
      </c>
      <c r="T83" s="4">
        <f>VLOOKUP(计算!G83,全部!C:AC,27,FALSE)</f>
        <v>4800000</v>
      </c>
      <c r="U83" s="4">
        <f>VLOOKUP(G83,全部!C:AD,28,FALSE)</f>
        <v>4800000</v>
      </c>
      <c r="V83" s="6">
        <f>VLOOKUP(G83,全部!C:AE,29,FALSE)</f>
        <v>0.53333333333333333</v>
      </c>
      <c r="W83" s="4">
        <f>VLOOKUP(G83,全部!C:AF,30,FALSE)</f>
        <v>2571030.19</v>
      </c>
      <c r="X83" s="4">
        <f>VLOOKUP(G83,全部!C:AG,31,FALSE)</f>
        <v>2571030.19</v>
      </c>
      <c r="Y83" s="4">
        <f>VLOOKUP(计算!G83,全部!C:AH,32,FALSE)</f>
        <v>4800000</v>
      </c>
      <c r="Z83" s="4">
        <f>VLOOKUP(G83,全部!C:AL,36,FALSE)</f>
        <v>4800000</v>
      </c>
      <c r="AA83" s="4">
        <f>VLOOKUP(G83,全部!C:AM,37,FALSE)</f>
        <v>3.4000000000000002E-2</v>
      </c>
      <c r="AB83" s="6">
        <f>VLOOKUP(G83,全部!C:AN,38,FALSE)</f>
        <v>306000</v>
      </c>
      <c r="AC83" s="4">
        <f>VLOOKUP(G83,全部!C:AO,39,FALSE)</f>
        <v>306000</v>
      </c>
      <c r="AD83" s="4">
        <f>VLOOKUP(G83,全部!C:AP,40,FALSE)</f>
        <v>306000</v>
      </c>
      <c r="AE83" s="6">
        <f>VLOOKUP(G83,全部!C:AQ,41,FALSE)</f>
        <v>0</v>
      </c>
      <c r="AF83" s="4">
        <f>VLOOKUP(G83,全部!C:AR,42,FALSE)</f>
        <v>0</v>
      </c>
      <c r="AG83" s="7">
        <f>VLOOKUP(G83,全部!C:AS,43,FALSE)</f>
        <v>10</v>
      </c>
      <c r="AH83" s="64" t="str">
        <f>IF(VLOOKUP(G83,全部!C:AT,44,FALSE)=0,"",VLOOKUP(G83,全部!C:AT,44,FALSE))</f>
        <v>管庄</v>
      </c>
      <c r="AI83">
        <v>0</v>
      </c>
      <c r="AJ83" s="3">
        <v>41912.686261574097</v>
      </c>
      <c r="AK83" s="2" t="s">
        <v>2080</v>
      </c>
    </row>
    <row r="84" spans="1:37" x14ac:dyDescent="0.15">
      <c r="A84" s="2" t="s">
        <v>2079</v>
      </c>
      <c r="B84">
        <v>746</v>
      </c>
      <c r="C84" s="3">
        <v>41361</v>
      </c>
      <c r="D84" s="2" t="s">
        <v>37</v>
      </c>
      <c r="E84" s="2" t="s">
        <v>2078</v>
      </c>
      <c r="F84" s="2" t="s">
        <v>38</v>
      </c>
      <c r="G84" s="2" t="s">
        <v>206</v>
      </c>
      <c r="H84" s="2" t="s">
        <v>207</v>
      </c>
      <c r="I84" s="4">
        <f>VLOOKUP(G84,全部!C:M,11,FALSE)</f>
        <v>35281540.549999997</v>
      </c>
      <c r="J84" s="4">
        <f t="shared" si="1"/>
        <v>1087789.19</v>
      </c>
      <c r="K84" s="4">
        <f>VLOOKUP(计算!G84,全部!C:N,12,FALSE)</f>
        <v>1087789.19</v>
      </c>
      <c r="L84" s="5">
        <f>VLOOKUP(G84,全部!C:P,14,FALSE)</f>
        <v>0</v>
      </c>
      <c r="M84" s="5">
        <f>VLOOKUP(G84,全部!C:V,20,FALSE)*100</f>
        <v>3</v>
      </c>
      <c r="N84" s="6">
        <f>VLOOKUP(G84,全部!C:W,21,FALSE)</f>
        <v>1091079.8921999999</v>
      </c>
      <c r="O84" s="4">
        <f>VLOOKUP(G84,全部!C:X,22,FALSE)</f>
        <v>1064887</v>
      </c>
      <c r="P84" s="4">
        <f>VLOOKUP(G84,全部!C:Y,23,FALSE)</f>
        <v>1064887</v>
      </c>
      <c r="Q84" s="6">
        <f>VLOOKUP(G84,全部!C:Z,24,FALSE)</f>
        <v>26192.892199999886</v>
      </c>
      <c r="R84" s="7">
        <f>VLOOKUP(G84,全部!C:AA,25,FALSE)</f>
        <v>25050105</v>
      </c>
      <c r="S84" s="7">
        <f>VLOOKUP(G84,全部!C:AB,26,FALSE)</f>
        <v>25050105</v>
      </c>
      <c r="T84" s="4">
        <f>VLOOKUP(计算!G84,全部!C:AC,27,FALSE)</f>
        <v>25050105</v>
      </c>
      <c r="U84" s="4">
        <f>VLOOKUP(G84,全部!C:AD,28,FALSE)</f>
        <v>25050105</v>
      </c>
      <c r="V84" s="6">
        <f>VLOOKUP(G84,全部!C:AE,29,FALSE)</f>
        <v>0.68877004825440047</v>
      </c>
      <c r="W84" s="4">
        <f>VLOOKUP(G84,全部!C:AF,30,FALSE)</f>
        <v>23540714.640000001</v>
      </c>
      <c r="X84" s="4">
        <f>VLOOKUP(G84,全部!C:AG,31,FALSE)</f>
        <v>23540714.640000001</v>
      </c>
      <c r="Y84" s="4">
        <f>VLOOKUP(计算!G84,全部!C:AH,32,FALSE)</f>
        <v>25042419.640000001</v>
      </c>
      <c r="Z84" s="4">
        <f>VLOOKUP(G84,全部!C:AL,36,FALSE)</f>
        <v>25042419.640000001</v>
      </c>
      <c r="AA84" s="4">
        <f>VLOOKUP(G84,全部!C:AM,37,FALSE)</f>
        <v>3.4000000000000002E-2</v>
      </c>
      <c r="AB84" s="6">
        <f>VLOOKUP(G84,全部!C:AN,38,FALSE)</f>
        <v>851703.57000000007</v>
      </c>
      <c r="AC84" s="4">
        <f>VLOOKUP(G84,全部!C:AO,39,FALSE)</f>
        <v>851705</v>
      </c>
      <c r="AD84" s="4">
        <f>VLOOKUP(G84,全部!C:AP,40,FALSE)</f>
        <v>851705</v>
      </c>
      <c r="AE84" s="6">
        <f>VLOOKUP(G84,全部!C:AQ,41,FALSE)</f>
        <v>0</v>
      </c>
      <c r="AF84" s="4">
        <f>VLOOKUP(G84,全部!C:AR,42,FALSE)</f>
        <v>0</v>
      </c>
      <c r="AG84" s="7">
        <f>VLOOKUP(G84,全部!C:AS,43,FALSE)</f>
        <v>180</v>
      </c>
      <c r="AH84" s="64" t="str">
        <f>IF(VLOOKUP(G84,全部!C:AT,44,FALSE)=0,"",VLOOKUP(G84,全部!C:AT,44,FALSE))</f>
        <v>管庄</v>
      </c>
      <c r="AI84">
        <v>0</v>
      </c>
      <c r="AJ84" s="3">
        <v>41912.686261574097</v>
      </c>
      <c r="AK84" s="2" t="s">
        <v>2077</v>
      </c>
    </row>
    <row r="85" spans="1:37" x14ac:dyDescent="0.15">
      <c r="A85" s="2" t="s">
        <v>2076</v>
      </c>
      <c r="B85">
        <v>113</v>
      </c>
      <c r="C85" s="3">
        <v>41365</v>
      </c>
      <c r="D85" s="2" t="s">
        <v>37</v>
      </c>
      <c r="E85" s="2" t="s">
        <v>2075</v>
      </c>
      <c r="F85" s="2" t="s">
        <v>41</v>
      </c>
      <c r="G85" s="2" t="s">
        <v>210</v>
      </c>
      <c r="H85" s="2" t="s">
        <v>211</v>
      </c>
      <c r="I85" s="4">
        <f>VLOOKUP(G85,全部!C:M,11,FALSE)</f>
        <v>7457847.71</v>
      </c>
      <c r="J85" s="4">
        <f t="shared" si="1"/>
        <v>0</v>
      </c>
      <c r="K85" s="4">
        <f>VLOOKUP(计算!G85,全部!C:N,12,FALSE)</f>
        <v>0</v>
      </c>
      <c r="L85" s="5">
        <f>VLOOKUP(G85,全部!C:P,14,FALSE)</f>
        <v>0</v>
      </c>
      <c r="M85" s="5">
        <f>VLOOKUP(G85,全部!C:V,20,FALSE)*100</f>
        <v>4</v>
      </c>
      <c r="N85" s="6">
        <f>VLOOKUP(G85,全部!C:W,21,FALSE)</f>
        <v>298313.90840000001</v>
      </c>
      <c r="O85" s="4">
        <f>VLOOKUP(G85,全部!C:X,22,FALSE)</f>
        <v>298314</v>
      </c>
      <c r="P85" s="4">
        <f>VLOOKUP(G85,全部!C:Y,23,FALSE)</f>
        <v>298314</v>
      </c>
      <c r="Q85" s="6">
        <f>VLOOKUP(G85,全部!C:Z,24,FALSE)</f>
        <v>-9.1599999985191971E-2</v>
      </c>
      <c r="R85" s="7">
        <f>VLOOKUP(G85,全部!C:AA,25,FALSE)</f>
        <v>0</v>
      </c>
      <c r="S85" s="7">
        <f>VLOOKUP(G85,全部!C:AB,26,FALSE)</f>
        <v>0</v>
      </c>
      <c r="T85" s="4">
        <f>VLOOKUP(计算!G85,全部!C:AC,27,FALSE)</f>
        <v>6847606.6600000001</v>
      </c>
      <c r="U85" s="4">
        <f>VLOOKUP(G85,全部!C:AD,28,FALSE)</f>
        <v>6847606.6600000001</v>
      </c>
      <c r="V85" s="6">
        <f>VLOOKUP(G85,全部!C:AE,29,FALSE)</f>
        <v>0.91817464317731423</v>
      </c>
      <c r="W85" s="4">
        <f>VLOOKUP(G85,全部!C:AF,30,FALSE)</f>
        <v>0</v>
      </c>
      <c r="X85" s="4">
        <f>VLOOKUP(G85,全部!C:AG,31,FALSE)</f>
        <v>0</v>
      </c>
      <c r="Y85" s="4">
        <f>VLOOKUP(计算!G85,全部!C:AH,32,FALSE)</f>
        <v>6685410.4400000004</v>
      </c>
      <c r="Z85" s="4">
        <f>VLOOKUP(G85,全部!C:AL,36,FALSE)</f>
        <v>6685410.4400000004</v>
      </c>
      <c r="AA85" s="4">
        <f>VLOOKUP(G85,全部!C:AM,37,FALSE)</f>
        <v>3.4000000000000002E-2</v>
      </c>
      <c r="AB85" s="6">
        <f>VLOOKUP(G85,全部!C:AN,38,FALSE)</f>
        <v>253566.82214</v>
      </c>
      <c r="AC85" s="4">
        <f>VLOOKUP(G85,全部!C:AO,39,FALSE)</f>
        <v>140035.07</v>
      </c>
      <c r="AD85" s="4">
        <f>VLOOKUP(G85,全部!C:AP,40,FALSE)</f>
        <v>140035.07</v>
      </c>
      <c r="AE85" s="6">
        <f>VLOOKUP(G85,全部!C:AQ,41,FALSE)</f>
        <v>113531.75214</v>
      </c>
      <c r="AF85" s="4">
        <f>VLOOKUP(G85,全部!C:AR,42,FALSE)</f>
        <v>0</v>
      </c>
      <c r="AG85" s="7">
        <f>VLOOKUP(G85,全部!C:AS,43,FALSE)</f>
        <v>0</v>
      </c>
      <c r="AH85" s="64" t="str">
        <f>IF(VLOOKUP(G85,全部!C:AT,44,FALSE)=0,"",VLOOKUP(G85,全部!C:AT,44,FALSE))</f>
        <v/>
      </c>
      <c r="AI85">
        <v>0</v>
      </c>
      <c r="AJ85" s="3">
        <v>41912.6862384259</v>
      </c>
      <c r="AK85" s="2" t="s">
        <v>2074</v>
      </c>
    </row>
    <row r="86" spans="1:37" x14ac:dyDescent="0.15">
      <c r="A86" s="2" t="s">
        <v>2073</v>
      </c>
      <c r="B86">
        <v>771</v>
      </c>
      <c r="C86" s="3">
        <v>41365</v>
      </c>
      <c r="D86" s="2" t="s">
        <v>37</v>
      </c>
      <c r="E86" s="2" t="s">
        <v>2072</v>
      </c>
      <c r="F86" s="2" t="s">
        <v>38</v>
      </c>
      <c r="G86" s="2" t="s">
        <v>208</v>
      </c>
      <c r="H86" s="2" t="s">
        <v>209</v>
      </c>
      <c r="I86" s="4">
        <f>VLOOKUP(G86,全部!C:M,11,FALSE)</f>
        <v>12491680</v>
      </c>
      <c r="J86" s="4">
        <f t="shared" si="1"/>
        <v>0</v>
      </c>
      <c r="K86" s="4">
        <f>VLOOKUP(计算!G86,全部!C:N,12,FALSE)</f>
        <v>0</v>
      </c>
      <c r="L86" s="5">
        <f>VLOOKUP(G86,全部!C:P,14,FALSE)</f>
        <v>0</v>
      </c>
      <c r="M86" s="5">
        <f>VLOOKUP(G86,全部!C:V,20,FALSE)*100</f>
        <v>3</v>
      </c>
      <c r="N86" s="6">
        <f>VLOOKUP(G86,全部!C:W,21,FALSE)</f>
        <v>374750.39999999997</v>
      </c>
      <c r="O86" s="4">
        <f>VLOOKUP(G86,全部!C:X,22,FALSE)</f>
        <v>374750</v>
      </c>
      <c r="P86" s="4">
        <f>VLOOKUP(G86,全部!C:Y,23,FALSE)</f>
        <v>374750</v>
      </c>
      <c r="Q86" s="6">
        <f>VLOOKUP(G86,全部!C:Z,24,FALSE)</f>
        <v>0</v>
      </c>
      <c r="R86" s="7">
        <f>VLOOKUP(G86,全部!C:AA,25,FALSE)</f>
        <v>11200000</v>
      </c>
      <c r="S86" s="7">
        <f>VLOOKUP(G86,全部!C:AB,26,FALSE)</f>
        <v>11200000</v>
      </c>
      <c r="T86" s="4">
        <f>VLOOKUP(计算!G86,全部!C:AC,27,FALSE)</f>
        <v>11200000</v>
      </c>
      <c r="U86" s="4">
        <f>VLOOKUP(G86,全部!C:AD,28,FALSE)</f>
        <v>11200000</v>
      </c>
      <c r="V86" s="6">
        <f>VLOOKUP(G86,全部!C:AE,29,FALSE)</f>
        <v>0.89659677481331579</v>
      </c>
      <c r="W86" s="4">
        <f>VLOOKUP(G86,全部!C:AF,30,FALSE)</f>
        <v>10579700.51</v>
      </c>
      <c r="X86" s="4">
        <f>VLOOKUP(G86,全部!C:AG,31,FALSE)</f>
        <v>10579700.51</v>
      </c>
      <c r="Y86" s="4">
        <f>VLOOKUP(计算!G86,全部!C:AH,32,FALSE)</f>
        <v>11184000.51</v>
      </c>
      <c r="Z86" s="4">
        <f>VLOOKUP(G86,全部!C:AL,36,FALSE)</f>
        <v>11184000.51</v>
      </c>
      <c r="AA86" s="4">
        <f>VLOOKUP(G86,全部!C:AM,37,FALSE)</f>
        <v>3.4000000000000002E-2</v>
      </c>
      <c r="AB86" s="6">
        <f>VLOOKUP(G86,全部!C:AN,38,FALSE)</f>
        <v>380800</v>
      </c>
      <c r="AC86" s="4">
        <f>VLOOKUP(G86,全部!C:AO,39,FALSE)</f>
        <v>380800</v>
      </c>
      <c r="AD86" s="4">
        <f>VLOOKUP(G86,全部!C:AP,40,FALSE)</f>
        <v>380800</v>
      </c>
      <c r="AE86" s="6">
        <f>VLOOKUP(G86,全部!C:AQ,41,FALSE)</f>
        <v>0</v>
      </c>
      <c r="AF86" s="4">
        <f>VLOOKUP(G86,全部!C:AR,42,FALSE)</f>
        <v>0</v>
      </c>
      <c r="AG86" s="7">
        <f>VLOOKUP(G86,全部!C:AS,43,FALSE)</f>
        <v>145</v>
      </c>
      <c r="AH86" s="64" t="str">
        <f>IF(VLOOKUP(G86,全部!C:AT,44,FALSE)=0,"",VLOOKUP(G86,全部!C:AT,44,FALSE))</f>
        <v>三河</v>
      </c>
      <c r="AI86">
        <v>0</v>
      </c>
      <c r="AJ86" s="3">
        <v>41912.686273148101</v>
      </c>
      <c r="AK86" s="2" t="s">
        <v>2071</v>
      </c>
    </row>
    <row r="87" spans="1:37" x14ac:dyDescent="0.15">
      <c r="A87" s="2" t="s">
        <v>2070</v>
      </c>
      <c r="B87">
        <v>780</v>
      </c>
      <c r="C87" s="3">
        <v>41365</v>
      </c>
      <c r="D87" s="2" t="s">
        <v>37</v>
      </c>
      <c r="E87" s="2" t="s">
        <v>2069</v>
      </c>
      <c r="F87" s="2" t="s">
        <v>38</v>
      </c>
      <c r="G87" s="2" t="s">
        <v>212</v>
      </c>
      <c r="H87" s="2" t="s">
        <v>213</v>
      </c>
      <c r="I87" s="4">
        <f>VLOOKUP(G87,全部!C:M,11,FALSE)</f>
        <v>1195559</v>
      </c>
      <c r="J87" s="4">
        <f t="shared" si="1"/>
        <v>934441</v>
      </c>
      <c r="K87" s="4">
        <f>VLOOKUP(计算!G87,全部!C:N,12,FALSE)</f>
        <v>934441</v>
      </c>
      <c r="L87" s="5">
        <f>VLOOKUP(G87,全部!C:P,14,FALSE)</f>
        <v>0</v>
      </c>
      <c r="M87" s="5">
        <f>VLOOKUP(G87,全部!C:V,20,FALSE)*100</f>
        <v>3.5999999999999996</v>
      </c>
      <c r="N87" s="6">
        <f>VLOOKUP(G87,全部!C:W,21,FALSE)</f>
        <v>76680</v>
      </c>
      <c r="O87" s="4">
        <f>VLOOKUP(G87,全部!C:X,22,FALSE)</f>
        <v>76680</v>
      </c>
      <c r="P87" s="4">
        <f>VLOOKUP(G87,全部!C:Y,23,FALSE)</f>
        <v>76680</v>
      </c>
      <c r="Q87" s="6">
        <f>VLOOKUP(G87,全部!C:Z,24,FALSE)</f>
        <v>0</v>
      </c>
      <c r="R87" s="7">
        <f>VLOOKUP(G87,全部!C:AA,25,FALSE)</f>
        <v>2130000</v>
      </c>
      <c r="S87" s="7">
        <f>VLOOKUP(G87,全部!C:AB,26,FALSE)</f>
        <v>2130000</v>
      </c>
      <c r="T87" s="4">
        <f>VLOOKUP(计算!G87,全部!C:AC,27,FALSE)</f>
        <v>2023500</v>
      </c>
      <c r="U87" s="4">
        <f>VLOOKUP(G87,全部!C:AD,28,FALSE)</f>
        <v>2023500</v>
      </c>
      <c r="V87" s="6">
        <f>VLOOKUP(G87,全部!C:AE,29,FALSE)</f>
        <v>0.95</v>
      </c>
      <c r="W87" s="4">
        <f>VLOOKUP(G87,全部!C:AF,30,FALSE)</f>
        <v>1200000</v>
      </c>
      <c r="X87" s="4">
        <f>VLOOKUP(G87,全部!C:AG,31,FALSE)</f>
        <v>1200000</v>
      </c>
      <c r="Y87" s="4">
        <f>VLOOKUP(计算!G87,全部!C:AH,32,FALSE)</f>
        <v>1971374.8</v>
      </c>
      <c r="Z87" s="4">
        <f>VLOOKUP(G87,全部!C:AL,36,FALSE)</f>
        <v>1971374.8</v>
      </c>
      <c r="AA87" s="4">
        <f>VLOOKUP(G87,全部!C:AM,37,FALSE)</f>
        <v>3.4000000000000002E-2</v>
      </c>
      <c r="AB87" s="6">
        <f>VLOOKUP(G87,全部!C:AN,38,FALSE)</f>
        <v>72420</v>
      </c>
      <c r="AC87" s="4">
        <f>VLOOKUP(G87,全部!C:AO,39,FALSE)</f>
        <v>72420</v>
      </c>
      <c r="AD87" s="4">
        <f>VLOOKUP(G87,全部!C:AP,40,FALSE)</f>
        <v>72420</v>
      </c>
      <c r="AE87" s="6">
        <f>VLOOKUP(G87,全部!C:AQ,41,FALSE)</f>
        <v>0</v>
      </c>
      <c r="AF87" s="4">
        <f>VLOOKUP(G87,全部!C:AR,42,FALSE)</f>
        <v>0</v>
      </c>
      <c r="AG87" s="7">
        <f>VLOOKUP(G87,全部!C:AS,43,FALSE)</f>
        <v>16</v>
      </c>
      <c r="AH87" s="64" t="str">
        <f>IF(VLOOKUP(G87,全部!C:AT,44,FALSE)=0,"",VLOOKUP(G87,全部!C:AT,44,FALSE))</f>
        <v>亦庄</v>
      </c>
      <c r="AI87">
        <v>0</v>
      </c>
      <c r="AJ87" s="3">
        <v>41912.686273148101</v>
      </c>
      <c r="AK87" s="2" t="s">
        <v>2068</v>
      </c>
    </row>
    <row r="88" spans="1:37" x14ac:dyDescent="0.15">
      <c r="A88" s="2" t="s">
        <v>2067</v>
      </c>
      <c r="B88">
        <v>763</v>
      </c>
      <c r="C88" s="3">
        <v>41377</v>
      </c>
      <c r="D88" s="2" t="s">
        <v>37</v>
      </c>
      <c r="E88" s="2" t="s">
        <v>2066</v>
      </c>
      <c r="F88" s="2" t="s">
        <v>38</v>
      </c>
      <c r="G88" s="2" t="s">
        <v>214</v>
      </c>
      <c r="H88" s="2" t="s">
        <v>215</v>
      </c>
      <c r="I88" s="4">
        <f>VLOOKUP(G88,全部!C:M,11,FALSE)</f>
        <v>2600000</v>
      </c>
      <c r="J88" s="4">
        <f t="shared" si="1"/>
        <v>0</v>
      </c>
      <c r="K88" s="4">
        <f>VLOOKUP(计算!G88,全部!C:N,12,FALSE)</f>
        <v>0</v>
      </c>
      <c r="L88" s="5">
        <f>VLOOKUP(G88,全部!C:P,14,FALSE)</f>
        <v>0</v>
      </c>
      <c r="M88" s="5">
        <f>VLOOKUP(G88,全部!C:V,20,FALSE)*100</f>
        <v>3.5999999999999996</v>
      </c>
      <c r="N88" s="6">
        <f>VLOOKUP(G88,全部!C:W,21,FALSE)</f>
        <v>93600</v>
      </c>
      <c r="O88" s="4">
        <f>VLOOKUP(G88,全部!C:X,22,FALSE)</f>
        <v>93600</v>
      </c>
      <c r="P88" s="4">
        <f>VLOOKUP(G88,全部!C:Y,23,FALSE)</f>
        <v>93600</v>
      </c>
      <c r="Q88" s="6">
        <f>VLOOKUP(G88,全部!C:Z,24,FALSE)</f>
        <v>0</v>
      </c>
      <c r="R88" s="7">
        <f>VLOOKUP(G88,全部!C:AA,25,FALSE)</f>
        <v>2894471</v>
      </c>
      <c r="S88" s="7">
        <f>VLOOKUP(G88,全部!C:AB,26,FALSE)</f>
        <v>2894471</v>
      </c>
      <c r="T88" s="4">
        <f>VLOOKUP(计算!G88,全部!C:AC,27,FALSE)</f>
        <v>2894471</v>
      </c>
      <c r="U88" s="4">
        <f>VLOOKUP(G88,全部!C:AD,28,FALSE)</f>
        <v>2894471</v>
      </c>
      <c r="V88" s="6">
        <f>VLOOKUP(G88,全部!C:AE,29,FALSE)</f>
        <v>1.1132580769230769</v>
      </c>
      <c r="W88" s="4">
        <f>VLOOKUP(G88,全部!C:AF,30,FALSE)</f>
        <v>2705613.68</v>
      </c>
      <c r="X88" s="4">
        <f>VLOOKUP(G88,全部!C:AG,31,FALSE)</f>
        <v>2705613.68</v>
      </c>
      <c r="Y88" s="4">
        <f>VLOOKUP(计算!G88,全部!C:AH,32,FALSE)</f>
        <v>2804025.68</v>
      </c>
      <c r="Z88" s="4">
        <f>VLOOKUP(G88,全部!C:AL,36,FALSE)</f>
        <v>2804025.68</v>
      </c>
      <c r="AA88" s="4">
        <f>VLOOKUP(G88,全部!C:AM,37,FALSE)</f>
        <v>3.4000000000000002E-2</v>
      </c>
      <c r="AB88" s="6">
        <f>VLOOKUP(G88,全部!C:AN,38,FALSE)</f>
        <v>98412.01400000001</v>
      </c>
      <c r="AC88" s="4">
        <f>VLOOKUP(G88,全部!C:AO,39,FALSE)</f>
        <v>98412</v>
      </c>
      <c r="AD88" s="4">
        <f>VLOOKUP(G88,全部!C:AP,40,FALSE)</f>
        <v>98412</v>
      </c>
      <c r="AE88" s="6">
        <f>VLOOKUP(G88,全部!C:AQ,41,FALSE)</f>
        <v>0</v>
      </c>
      <c r="AF88" s="4">
        <f>VLOOKUP(G88,全部!C:AR,42,FALSE)</f>
        <v>0</v>
      </c>
      <c r="AG88" s="7">
        <f>VLOOKUP(G88,全部!C:AS,43,FALSE)</f>
        <v>0</v>
      </c>
      <c r="AH88" s="64" t="str">
        <f>IF(VLOOKUP(G88,全部!C:AT,44,FALSE)=0,"",VLOOKUP(G88,全部!C:AT,44,FALSE))</f>
        <v/>
      </c>
      <c r="AI88">
        <v>0</v>
      </c>
      <c r="AJ88" s="3">
        <v>41912.686273148101</v>
      </c>
      <c r="AK88" s="2" t="s">
        <v>2065</v>
      </c>
    </row>
    <row r="89" spans="1:37" x14ac:dyDescent="0.15">
      <c r="A89" s="2" t="s">
        <v>2064</v>
      </c>
      <c r="B89">
        <v>794</v>
      </c>
      <c r="C89" s="3">
        <v>41395</v>
      </c>
      <c r="D89" s="2" t="s">
        <v>37</v>
      </c>
      <c r="E89" s="2" t="s">
        <v>2063</v>
      </c>
      <c r="F89" s="2" t="s">
        <v>38</v>
      </c>
      <c r="G89" s="2" t="s">
        <v>218</v>
      </c>
      <c r="H89" s="2" t="s">
        <v>219</v>
      </c>
      <c r="I89" s="4">
        <f>VLOOKUP(G89,全部!C:M,11,FALSE)</f>
        <v>2894611</v>
      </c>
      <c r="J89" s="4">
        <f t="shared" si="1"/>
        <v>0</v>
      </c>
      <c r="K89" s="4">
        <f>VLOOKUP(计算!G89,全部!C:N,12,FALSE)</f>
        <v>0</v>
      </c>
      <c r="L89" s="5">
        <f>VLOOKUP(G89,全部!C:P,14,FALSE)</f>
        <v>0</v>
      </c>
      <c r="M89" s="5">
        <f>VLOOKUP(G89,全部!C:V,20,FALSE)*100</f>
        <v>3.5999999999999996</v>
      </c>
      <c r="N89" s="6">
        <f>VLOOKUP(G89,全部!C:W,21,FALSE)</f>
        <v>104205.996</v>
      </c>
      <c r="O89" s="4">
        <f>VLOOKUP(G89,全部!C:X,22,FALSE)</f>
        <v>104206</v>
      </c>
      <c r="P89" s="4">
        <f>VLOOKUP(G89,全部!C:Y,23,FALSE)</f>
        <v>104206</v>
      </c>
      <c r="Q89" s="6">
        <f>VLOOKUP(G89,全部!C:Z,24,FALSE)</f>
        <v>0</v>
      </c>
      <c r="R89" s="7">
        <f>VLOOKUP(G89,全部!C:AA,25,FALSE)</f>
        <v>1528383.3</v>
      </c>
      <c r="S89" s="7">
        <f>VLOOKUP(G89,全部!C:AB,26,FALSE)</f>
        <v>1528383.3</v>
      </c>
      <c r="T89" s="4">
        <f>VLOOKUP(计算!G89,全部!C:AC,27,FALSE)</f>
        <v>1528383.3</v>
      </c>
      <c r="U89" s="4">
        <f>VLOOKUP(G89,全部!C:AD,28,FALSE)</f>
        <v>1528383.3</v>
      </c>
      <c r="V89" s="6">
        <f>VLOOKUP(G89,全部!C:AE,29,FALSE)</f>
        <v>0.52800991221272908</v>
      </c>
      <c r="W89" s="4">
        <f>VLOOKUP(G89,全部!C:AF,30,FALSE)</f>
        <v>1476000</v>
      </c>
      <c r="X89" s="4">
        <f>VLOOKUP(G89,全部!C:AG,31,FALSE)</f>
        <v>1476000</v>
      </c>
      <c r="Y89" s="4">
        <f>VLOOKUP(计算!G89,全部!C:AH,32,FALSE)</f>
        <v>1527965</v>
      </c>
      <c r="Z89" s="4">
        <f>VLOOKUP(G89,全部!C:AL,36,FALSE)</f>
        <v>1527965</v>
      </c>
      <c r="AA89" s="4">
        <f>VLOOKUP(G89,全部!C:AM,37,FALSE)</f>
        <v>3.4000000000000002E-2</v>
      </c>
      <c r="AB89" s="6">
        <f>VLOOKUP(G89,全部!C:AN,38,FALSE)</f>
        <v>51965.032200000009</v>
      </c>
      <c r="AC89" s="4">
        <f>VLOOKUP(G89,全部!C:AO,39,FALSE)</f>
        <v>51965</v>
      </c>
      <c r="AD89" s="4">
        <f>VLOOKUP(G89,全部!C:AP,40,FALSE)</f>
        <v>51965</v>
      </c>
      <c r="AE89" s="6">
        <f>VLOOKUP(G89,全部!C:AQ,41,FALSE)</f>
        <v>0</v>
      </c>
      <c r="AF89" s="4">
        <f>VLOOKUP(G89,全部!C:AR,42,FALSE)</f>
        <v>0</v>
      </c>
      <c r="AG89" s="7">
        <f>VLOOKUP(G89,全部!C:AS,43,FALSE)</f>
        <v>0</v>
      </c>
      <c r="AH89" s="64" t="str">
        <f>IF(VLOOKUP(G89,全部!C:AT,44,FALSE)=0,"",VLOOKUP(G89,全部!C:AT,44,FALSE))</f>
        <v/>
      </c>
      <c r="AI89">
        <v>0</v>
      </c>
      <c r="AJ89" s="3">
        <v>41912.686273148101</v>
      </c>
      <c r="AK89" s="2" t="s">
        <v>2062</v>
      </c>
    </row>
    <row r="90" spans="1:37" x14ac:dyDescent="0.15">
      <c r="A90" s="2" t="s">
        <v>2061</v>
      </c>
      <c r="B90">
        <v>118</v>
      </c>
      <c r="C90" s="3">
        <v>41395</v>
      </c>
      <c r="D90" s="2" t="s">
        <v>37</v>
      </c>
      <c r="E90" s="2" t="s">
        <v>2060</v>
      </c>
      <c r="F90" s="2" t="s">
        <v>41</v>
      </c>
      <c r="G90" s="2" t="s">
        <v>223</v>
      </c>
      <c r="H90" s="2" t="s">
        <v>224</v>
      </c>
      <c r="I90" s="4">
        <f>VLOOKUP(G90,全部!C:M,11,FALSE)</f>
        <v>4596832.51</v>
      </c>
      <c r="J90" s="4">
        <f t="shared" si="1"/>
        <v>0</v>
      </c>
      <c r="K90" s="4">
        <f>VLOOKUP(计算!G90,全部!C:N,12,FALSE)</f>
        <v>0</v>
      </c>
      <c r="L90" s="5">
        <f>VLOOKUP(G90,全部!C:P,14,FALSE)</f>
        <v>0</v>
      </c>
      <c r="M90" s="5">
        <f>VLOOKUP(G90,全部!C:V,20,FALSE)*100</f>
        <v>4</v>
      </c>
      <c r="N90" s="6">
        <f>VLOOKUP(G90,全部!C:W,21,FALSE)</f>
        <v>183873.30040000001</v>
      </c>
      <c r="O90" s="4">
        <f>VLOOKUP(G90,全部!C:X,22,FALSE)</f>
        <v>183873.89</v>
      </c>
      <c r="P90" s="4">
        <f>VLOOKUP(G90,全部!C:Y,23,FALSE)</f>
        <v>183873.89</v>
      </c>
      <c r="Q90" s="6">
        <f>VLOOKUP(G90,全部!C:Z,24,FALSE)</f>
        <v>-0.58960000000661239</v>
      </c>
      <c r="R90" s="7">
        <f>VLOOKUP(G90,全部!C:AA,25,FALSE)</f>
        <v>0</v>
      </c>
      <c r="S90" s="7">
        <f>VLOOKUP(G90,全部!C:AB,26,FALSE)</f>
        <v>0</v>
      </c>
      <c r="T90" s="4">
        <f>VLOOKUP(计算!G90,全部!C:AC,27,FALSE)</f>
        <v>3403065.97</v>
      </c>
      <c r="U90" s="4">
        <f>VLOOKUP(G90,全部!C:AD,28,FALSE)</f>
        <v>3403065.97</v>
      </c>
      <c r="V90" s="6">
        <f>VLOOKUP(G90,全部!C:AE,29,FALSE)</f>
        <v>0.74030671393768066</v>
      </c>
      <c r="W90" s="4">
        <f>VLOOKUP(G90,全部!C:AF,30,FALSE)</f>
        <v>0</v>
      </c>
      <c r="X90" s="4">
        <f>VLOOKUP(G90,全部!C:AG,31,FALSE)</f>
        <v>0</v>
      </c>
      <c r="Y90" s="4">
        <f>VLOOKUP(计算!G90,全部!C:AH,32,FALSE)</f>
        <v>3112799.8</v>
      </c>
      <c r="Z90" s="4">
        <f>VLOOKUP(G90,全部!C:AL,36,FALSE)</f>
        <v>3112799.8</v>
      </c>
      <c r="AA90" s="4">
        <f>VLOOKUP(G90,全部!C:AM,37,FALSE)</f>
        <v>0</v>
      </c>
      <c r="AB90" s="6">
        <f>VLOOKUP(G90,全部!C:AN,38,FALSE)</f>
        <v>137474.67000000001</v>
      </c>
      <c r="AC90" s="4">
        <f>VLOOKUP(G90,全部!C:AO,39,FALSE)</f>
        <v>137474.67000000001</v>
      </c>
      <c r="AD90" s="4">
        <f>VLOOKUP(G90,全部!C:AP,40,FALSE)</f>
        <v>137474.67000000001</v>
      </c>
      <c r="AE90" s="6">
        <f>VLOOKUP(G90,全部!C:AQ,41,FALSE)</f>
        <v>0</v>
      </c>
      <c r="AF90" s="4">
        <f>VLOOKUP(G90,全部!C:AR,42,FALSE)</f>
        <v>0</v>
      </c>
      <c r="AG90" s="7">
        <f>VLOOKUP(G90,全部!C:AS,43,FALSE)</f>
        <v>0</v>
      </c>
      <c r="AH90" s="64" t="str">
        <f>IF(VLOOKUP(G90,全部!C:AT,44,FALSE)=0,"",VLOOKUP(G90,全部!C:AT,44,FALSE))</f>
        <v/>
      </c>
      <c r="AI90">
        <v>0</v>
      </c>
      <c r="AJ90" s="3">
        <v>41912.6862384259</v>
      </c>
      <c r="AK90" s="2" t="s">
        <v>2059</v>
      </c>
    </row>
    <row r="91" spans="1:37" x14ac:dyDescent="0.15">
      <c r="A91" s="2" t="s">
        <v>2058</v>
      </c>
      <c r="B91">
        <v>802</v>
      </c>
      <c r="C91" s="3">
        <v>41395</v>
      </c>
      <c r="D91" s="2" t="s">
        <v>37</v>
      </c>
      <c r="E91" s="2" t="s">
        <v>2057</v>
      </c>
      <c r="F91" s="2" t="s">
        <v>38</v>
      </c>
      <c r="G91" s="2" t="s">
        <v>220</v>
      </c>
      <c r="H91" s="2" t="s">
        <v>221</v>
      </c>
      <c r="I91" s="4">
        <f>VLOOKUP(G91,全部!C:M,11,FALSE)</f>
        <v>1691837.01</v>
      </c>
      <c r="J91" s="4">
        <f t="shared" si="1"/>
        <v>0</v>
      </c>
      <c r="K91" s="4">
        <f>VLOOKUP(计算!G91,全部!C:N,12,FALSE)</f>
        <v>0</v>
      </c>
      <c r="L91" s="5">
        <f>VLOOKUP(G91,全部!C:P,14,FALSE)</f>
        <v>0</v>
      </c>
      <c r="M91" s="5">
        <f>VLOOKUP(G91,全部!C:V,20,FALSE)*100</f>
        <v>3.5999999999999996</v>
      </c>
      <c r="N91" s="6">
        <f>VLOOKUP(G91,全部!C:W,21,FALSE)</f>
        <v>60906.132359999996</v>
      </c>
      <c r="O91" s="4">
        <f>VLOOKUP(G91,全部!C:X,22,FALSE)</f>
        <v>60906</v>
      </c>
      <c r="P91" s="4">
        <f>VLOOKUP(G91,全部!C:Y,23,FALSE)</f>
        <v>60906</v>
      </c>
      <c r="Q91" s="6">
        <f>VLOOKUP(G91,全部!C:Z,24,FALSE)</f>
        <v>0</v>
      </c>
      <c r="R91" s="7">
        <f>VLOOKUP(G91,全部!C:AA,25,FALSE)</f>
        <v>1892244</v>
      </c>
      <c r="S91" s="7">
        <f>VLOOKUP(G91,全部!C:AB,26,FALSE)</f>
        <v>1892244</v>
      </c>
      <c r="T91" s="4">
        <f>VLOOKUP(计算!G91,全部!C:AC,27,FALSE)</f>
        <v>1892244</v>
      </c>
      <c r="U91" s="4">
        <f>VLOOKUP(G91,全部!C:AD,28,FALSE)</f>
        <v>1892244</v>
      </c>
      <c r="V91" s="6">
        <f>VLOOKUP(G91,全部!C:AE,29,FALSE)</f>
        <v>1.118455258287558</v>
      </c>
      <c r="W91" s="4">
        <f>VLOOKUP(G91,全部!C:AF,30,FALSE)</f>
        <v>1729639.9999999998</v>
      </c>
      <c r="X91" s="4">
        <f>VLOOKUP(G91,全部!C:AG,31,FALSE)</f>
        <v>1729640</v>
      </c>
      <c r="Y91" s="4">
        <f>VLOOKUP(计算!G91,全部!C:AH,32,FALSE)</f>
        <v>1796005.9999999998</v>
      </c>
      <c r="Z91" s="4">
        <f>VLOOKUP(G91,全部!C:AL,36,FALSE)</f>
        <v>1796006</v>
      </c>
      <c r="AA91" s="4">
        <f>VLOOKUP(G91,全部!C:AM,37,FALSE)</f>
        <v>3.4000000000000002E-2</v>
      </c>
      <c r="AB91" s="6">
        <f>VLOOKUP(G91,全部!C:AN,38,FALSE)</f>
        <v>64336.296000000002</v>
      </c>
      <c r="AC91" s="4">
        <f>VLOOKUP(G91,全部!C:AO,39,FALSE)</f>
        <v>64336</v>
      </c>
      <c r="AD91" s="4">
        <f>VLOOKUP(G91,全部!C:AP,40,FALSE)</f>
        <v>64336</v>
      </c>
      <c r="AE91" s="6">
        <f>VLOOKUP(G91,全部!C:AQ,41,FALSE)</f>
        <v>0</v>
      </c>
      <c r="AF91" s="4">
        <f>VLOOKUP(G91,全部!C:AR,42,FALSE)</f>
        <v>0</v>
      </c>
      <c r="AG91" s="7">
        <f>VLOOKUP(G91,全部!C:AS,43,FALSE)</f>
        <v>15</v>
      </c>
      <c r="AH91" s="64" t="str">
        <f>IF(VLOOKUP(G91,全部!C:AT,44,FALSE)=0,"",VLOOKUP(G91,全部!C:AT,44,FALSE))</f>
        <v>京顺</v>
      </c>
      <c r="AI91">
        <v>0</v>
      </c>
      <c r="AJ91" s="3">
        <v>41912.686273148101</v>
      </c>
      <c r="AK91" s="2" t="s">
        <v>2056</v>
      </c>
    </row>
    <row r="92" spans="1:37" x14ac:dyDescent="0.15">
      <c r="A92" s="2" t="s">
        <v>2055</v>
      </c>
      <c r="B92">
        <v>120</v>
      </c>
      <c r="C92" s="3">
        <v>41395</v>
      </c>
      <c r="D92" s="2" t="s">
        <v>37</v>
      </c>
      <c r="E92" s="2" t="s">
        <v>2054</v>
      </c>
      <c r="F92" s="2" t="s">
        <v>41</v>
      </c>
      <c r="G92" s="2" t="s">
        <v>216</v>
      </c>
      <c r="H92" s="2" t="s">
        <v>217</v>
      </c>
      <c r="I92" s="4">
        <f>VLOOKUP(G92,全部!C:M,11,FALSE)</f>
        <v>573502.84</v>
      </c>
      <c r="J92" s="4">
        <f t="shared" si="1"/>
        <v>0</v>
      </c>
      <c r="K92" s="4">
        <f>VLOOKUP(计算!G92,全部!C:N,12,FALSE)</f>
        <v>0</v>
      </c>
      <c r="L92" s="5">
        <f>VLOOKUP(G92,全部!C:P,14,FALSE)</f>
        <v>0</v>
      </c>
      <c r="M92" s="5">
        <f>VLOOKUP(G92,全部!C:V,20,FALSE)*100</f>
        <v>4</v>
      </c>
      <c r="N92" s="6">
        <f>VLOOKUP(G92,全部!C:W,21,FALSE)</f>
        <v>22940.113600000001</v>
      </c>
      <c r="O92" s="4">
        <f>VLOOKUP(G92,全部!C:X,22,FALSE)</f>
        <v>22940.11</v>
      </c>
      <c r="P92" s="4">
        <f>VLOOKUP(G92,全部!C:Y,23,FALSE)</f>
        <v>22940.11</v>
      </c>
      <c r="Q92" s="6">
        <f>VLOOKUP(G92,全部!C:Z,24,FALSE)</f>
        <v>3.6000000000058208E-3</v>
      </c>
      <c r="R92" s="7">
        <f>VLOOKUP(G92,全部!C:AA,25,FALSE)</f>
        <v>0</v>
      </c>
      <c r="S92" s="7">
        <f>VLOOKUP(G92,全部!C:AB,26,FALSE)</f>
        <v>0</v>
      </c>
      <c r="T92" s="4">
        <f>VLOOKUP(计算!G92,全部!C:AC,27,FALSE)</f>
        <v>0</v>
      </c>
      <c r="U92" s="4">
        <f>VLOOKUP(G92,全部!C:AD,28,FALSE)</f>
        <v>0</v>
      </c>
      <c r="V92" s="6">
        <f>VLOOKUP(G92,全部!C:AE,29,FALSE)</f>
        <v>0</v>
      </c>
      <c r="W92" s="4">
        <f>VLOOKUP(G92,全部!C:AF,30,FALSE)</f>
        <v>0</v>
      </c>
      <c r="X92" s="4">
        <f>VLOOKUP(G92,全部!C:AG,31,FALSE)</f>
        <v>0</v>
      </c>
      <c r="Y92" s="4">
        <f>VLOOKUP(计算!G92,全部!C:AH,32,FALSE)</f>
        <v>0</v>
      </c>
      <c r="Z92" s="4">
        <f>VLOOKUP(G92,全部!C:AL,36,FALSE)</f>
        <v>0</v>
      </c>
      <c r="AA92" s="4">
        <f>VLOOKUP(G92,全部!C:AM,37,FALSE)</f>
        <v>0</v>
      </c>
      <c r="AB92" s="6">
        <f>VLOOKUP(G92,全部!C:AN,38,FALSE)</f>
        <v>0</v>
      </c>
      <c r="AC92" s="4">
        <f>VLOOKUP(G92,全部!C:AO,39,FALSE)</f>
        <v>0</v>
      </c>
      <c r="AD92" s="4">
        <f>VLOOKUP(G92,全部!C:AP,40,FALSE)</f>
        <v>0</v>
      </c>
      <c r="AE92" s="6">
        <f>VLOOKUP(G92,全部!C:AQ,41,FALSE)</f>
        <v>0</v>
      </c>
      <c r="AF92" s="4">
        <f>VLOOKUP(G92,全部!C:AR,42,FALSE)</f>
        <v>0</v>
      </c>
      <c r="AG92" s="7">
        <f>VLOOKUP(G92,全部!C:AS,43,FALSE)</f>
        <v>0</v>
      </c>
      <c r="AH92" s="64" t="str">
        <f>IF(VLOOKUP(G92,全部!C:AT,44,FALSE)=0,"",VLOOKUP(G92,全部!C:AT,44,FALSE))</f>
        <v/>
      </c>
      <c r="AI92">
        <v>0</v>
      </c>
      <c r="AJ92" s="3">
        <v>41912.6862384259</v>
      </c>
      <c r="AK92" s="2" t="s">
        <v>2053</v>
      </c>
    </row>
    <row r="93" spans="1:37" x14ac:dyDescent="0.15">
      <c r="A93" s="2" t="s">
        <v>2052</v>
      </c>
      <c r="B93">
        <v>787</v>
      </c>
      <c r="C93" s="3">
        <v>41396</v>
      </c>
      <c r="D93" s="2" t="s">
        <v>37</v>
      </c>
      <c r="E93" s="2" t="s">
        <v>2051</v>
      </c>
      <c r="F93" s="2" t="s">
        <v>38</v>
      </c>
      <c r="G93" s="2" t="s">
        <v>225</v>
      </c>
      <c r="H93" s="2" t="s">
        <v>226</v>
      </c>
      <c r="I93" s="4">
        <f>VLOOKUP(G93,全部!C:M,11,FALSE)</f>
        <v>1258749</v>
      </c>
      <c r="J93" s="4">
        <f t="shared" si="1"/>
        <v>0</v>
      </c>
      <c r="K93" s="4">
        <f>VLOOKUP(计算!G93,全部!C:N,12,FALSE)</f>
        <v>0</v>
      </c>
      <c r="L93" s="5">
        <f>VLOOKUP(G93,全部!C:P,14,FALSE)</f>
        <v>0</v>
      </c>
      <c r="M93" s="5">
        <f>VLOOKUP(G93,全部!C:V,20,FALSE)*100</f>
        <v>3.5999999999999996</v>
      </c>
      <c r="N93" s="6">
        <f>VLOOKUP(G93,全部!C:W,21,FALSE)</f>
        <v>45314.964</v>
      </c>
      <c r="O93" s="4">
        <f>VLOOKUP(G93,全部!C:X,22,FALSE)</f>
        <v>45315</v>
      </c>
      <c r="P93" s="4">
        <f>VLOOKUP(G93,全部!C:Y,23,FALSE)</f>
        <v>45315</v>
      </c>
      <c r="Q93" s="6">
        <f>VLOOKUP(G93,全部!C:Z,24,FALSE)</f>
        <v>0</v>
      </c>
      <c r="R93" s="7">
        <f>VLOOKUP(G93,全部!C:AA,25,FALSE)</f>
        <v>1052000</v>
      </c>
      <c r="S93" s="7">
        <f>VLOOKUP(G93,全部!C:AB,26,FALSE)</f>
        <v>1052000</v>
      </c>
      <c r="T93" s="4">
        <f>VLOOKUP(计算!G93,全部!C:AC,27,FALSE)</f>
        <v>1052000</v>
      </c>
      <c r="U93" s="4">
        <f>VLOOKUP(G93,全部!C:AD,28,FALSE)</f>
        <v>1052000</v>
      </c>
      <c r="V93" s="6">
        <f>VLOOKUP(G93,全部!C:AE,29,FALSE)</f>
        <v>0.83575041569049902</v>
      </c>
      <c r="W93" s="4">
        <f>VLOOKUP(G93,全部!C:AF,30,FALSE)</f>
        <v>1009286</v>
      </c>
      <c r="X93" s="4">
        <f>VLOOKUP(G93,全部!C:AG,31,FALSE)</f>
        <v>1009286</v>
      </c>
      <c r="Y93" s="4">
        <f>VLOOKUP(计算!G93,全部!C:AH,32,FALSE)</f>
        <v>1045054</v>
      </c>
      <c r="Z93" s="4">
        <f>VLOOKUP(G93,全部!C:AL,36,FALSE)</f>
        <v>1045054</v>
      </c>
      <c r="AA93" s="4">
        <f>VLOOKUP(G93,全部!C:AM,37,FALSE)</f>
        <v>3.4000000000000002E-2</v>
      </c>
      <c r="AB93" s="6">
        <f>VLOOKUP(G93,全部!C:AN,38,FALSE)</f>
        <v>35768</v>
      </c>
      <c r="AC93" s="4">
        <f>VLOOKUP(G93,全部!C:AO,39,FALSE)</f>
        <v>35768</v>
      </c>
      <c r="AD93" s="4">
        <f>VLOOKUP(G93,全部!C:AP,40,FALSE)</f>
        <v>35768</v>
      </c>
      <c r="AE93" s="6">
        <f>VLOOKUP(G93,全部!C:AQ,41,FALSE)</f>
        <v>0</v>
      </c>
      <c r="AF93" s="4">
        <f>VLOOKUP(G93,全部!C:AR,42,FALSE)</f>
        <v>0</v>
      </c>
      <c r="AG93" s="7">
        <f>VLOOKUP(G93,全部!C:AS,43,FALSE)</f>
        <v>0</v>
      </c>
      <c r="AH93" s="64" t="str">
        <f>IF(VLOOKUP(G93,全部!C:AT,44,FALSE)=0,"",VLOOKUP(G93,全部!C:AT,44,FALSE))</f>
        <v/>
      </c>
      <c r="AI93">
        <v>0</v>
      </c>
      <c r="AJ93" s="3">
        <v>41912.686273148101</v>
      </c>
      <c r="AK93" s="2" t="s">
        <v>2050</v>
      </c>
    </row>
    <row r="94" spans="1:37" x14ac:dyDescent="0.15">
      <c r="A94" s="2" t="s">
        <v>2049</v>
      </c>
      <c r="B94">
        <v>810</v>
      </c>
      <c r="C94" s="3">
        <v>41412</v>
      </c>
      <c r="D94" s="2" t="s">
        <v>37</v>
      </c>
      <c r="E94" s="2" t="s">
        <v>2048</v>
      </c>
      <c r="F94" s="2" t="s">
        <v>38</v>
      </c>
      <c r="G94" s="2" t="s">
        <v>227</v>
      </c>
      <c r="H94" s="2" t="s">
        <v>228</v>
      </c>
      <c r="I94" s="4">
        <f>VLOOKUP(G94,全部!C:M,11,FALSE)</f>
        <v>6498959</v>
      </c>
      <c r="J94" s="4">
        <f t="shared" si="1"/>
        <v>0</v>
      </c>
      <c r="K94" s="4">
        <f>VLOOKUP(计算!G94,全部!C:N,12,FALSE)</f>
        <v>0</v>
      </c>
      <c r="L94" s="5">
        <f>VLOOKUP(G94,全部!C:P,14,FALSE)</f>
        <v>0</v>
      </c>
      <c r="M94" s="5">
        <f>VLOOKUP(G94,全部!C:V,20,FALSE)*100</f>
        <v>3</v>
      </c>
      <c r="N94" s="6">
        <f>VLOOKUP(G94,全部!C:W,21,FALSE)</f>
        <v>194968.77</v>
      </c>
      <c r="O94" s="4">
        <f>VLOOKUP(G94,全部!C:X,22,FALSE)</f>
        <v>194969</v>
      </c>
      <c r="P94" s="4">
        <f>VLOOKUP(G94,全部!C:Y,23,FALSE)</f>
        <v>194969</v>
      </c>
      <c r="Q94" s="6">
        <f>VLOOKUP(G94,全部!C:Z,24,FALSE)</f>
        <v>0</v>
      </c>
      <c r="R94" s="7">
        <f>VLOOKUP(G94,全部!C:AA,25,FALSE)</f>
        <v>5165199.2</v>
      </c>
      <c r="S94" s="7">
        <f>VLOOKUP(G94,全部!C:AB,26,FALSE)</f>
        <v>5165199.2</v>
      </c>
      <c r="T94" s="4">
        <f>VLOOKUP(计算!G94,全部!C:AC,27,FALSE)</f>
        <v>4941545.5</v>
      </c>
      <c r="U94" s="4">
        <f>VLOOKUP(G94,全部!C:AD,28,FALSE)</f>
        <v>4941545.5</v>
      </c>
      <c r="V94" s="6">
        <f>VLOOKUP(G94,全部!C:AE,29,FALSE)</f>
        <v>0.76035954373615833</v>
      </c>
      <c r="W94" s="4">
        <f>VLOOKUP(G94,全部!C:AF,30,FALSE)</f>
        <v>4612419.1999999993</v>
      </c>
      <c r="X94" s="4">
        <f>VLOOKUP(G94,全部!C:AG,31,FALSE)</f>
        <v>4612419.2</v>
      </c>
      <c r="Y94" s="4">
        <f>VLOOKUP(计算!G94,全部!C:AH,32,FALSE)</f>
        <v>4934017.4499999993</v>
      </c>
      <c r="Z94" s="4">
        <f>VLOOKUP(G94,全部!C:AL,36,FALSE)</f>
        <v>4934017.45</v>
      </c>
      <c r="AA94" s="4">
        <f>VLOOKUP(G94,全部!C:AM,37,FALSE)</f>
        <v>3.7400000000000003E-2</v>
      </c>
      <c r="AB94" s="6">
        <f>VLOOKUP(G94,全部!C:AN,38,FALSE)</f>
        <v>193178.45008000001</v>
      </c>
      <c r="AC94" s="4">
        <f>VLOOKUP(G94,全部!C:AO,39,FALSE)</f>
        <v>193178.45</v>
      </c>
      <c r="AD94" s="4">
        <f>VLOOKUP(G94,全部!C:AP,40,FALSE)</f>
        <v>193178.45</v>
      </c>
      <c r="AE94" s="6">
        <f>VLOOKUP(G94,全部!C:AQ,41,FALSE)</f>
        <v>7.9999997979030013E-5</v>
      </c>
      <c r="AF94" s="4">
        <f>VLOOKUP(G94,全部!C:AR,42,FALSE)</f>
        <v>0</v>
      </c>
      <c r="AG94" s="7">
        <f>VLOOKUP(G94,全部!C:AS,43,FALSE)</f>
        <v>80</v>
      </c>
      <c r="AH94" s="64" t="str">
        <f>IF(VLOOKUP(G94,全部!C:AT,44,FALSE)=0,"",VLOOKUP(G94,全部!C:AT,44,FALSE))</f>
        <v>管庄</v>
      </c>
      <c r="AI94">
        <v>0</v>
      </c>
      <c r="AJ94" s="3">
        <v>41912.686273148101</v>
      </c>
      <c r="AK94" s="2" t="s">
        <v>2047</v>
      </c>
    </row>
    <row r="95" spans="1:37" x14ac:dyDescent="0.15">
      <c r="A95" s="2" t="s">
        <v>2046</v>
      </c>
      <c r="B95">
        <v>818</v>
      </c>
      <c r="C95" s="3">
        <v>41417</v>
      </c>
      <c r="D95" s="2" t="s">
        <v>37</v>
      </c>
      <c r="E95" s="2" t="s">
        <v>2045</v>
      </c>
      <c r="F95" s="2" t="s">
        <v>38</v>
      </c>
      <c r="G95" s="2" t="s">
        <v>229</v>
      </c>
      <c r="H95" s="2" t="s">
        <v>230</v>
      </c>
      <c r="I95" s="4">
        <f>VLOOKUP(G95,全部!C:M,11,FALSE)</f>
        <v>6000000</v>
      </c>
      <c r="J95" s="4">
        <f t="shared" si="1"/>
        <v>2023835.04</v>
      </c>
      <c r="K95" s="4">
        <f>VLOOKUP(计算!G95,全部!C:N,12,FALSE)</f>
        <v>2023835.04</v>
      </c>
      <c r="L95" s="5">
        <f>VLOOKUP(G95,全部!C:P,14,FALSE)</f>
        <v>0</v>
      </c>
      <c r="M95" s="5">
        <f>VLOOKUP(G95,全部!C:V,20,FALSE)*100</f>
        <v>3</v>
      </c>
      <c r="N95" s="6">
        <f>VLOOKUP(G95,全部!C:W,21,FALSE)</f>
        <v>240715.05119999999</v>
      </c>
      <c r="O95" s="4">
        <f>VLOOKUP(G95,全部!C:X,22,FALSE)</f>
        <v>240715</v>
      </c>
      <c r="P95" s="4">
        <f>VLOOKUP(G95,全部!C:Y,23,FALSE)</f>
        <v>240715</v>
      </c>
      <c r="Q95" s="6">
        <f>VLOOKUP(G95,全部!C:Z,24,FALSE)</f>
        <v>0</v>
      </c>
      <c r="R95" s="7">
        <f>VLOOKUP(G95,全部!C:AA,25,FALSE)</f>
        <v>8023835.04</v>
      </c>
      <c r="S95" s="7">
        <f>VLOOKUP(G95,全部!C:AB,26,FALSE)</f>
        <v>8023835.04</v>
      </c>
      <c r="T95" s="4">
        <f>VLOOKUP(计算!G95,全部!C:AC,27,FALSE)</f>
        <v>8023835.04</v>
      </c>
      <c r="U95" s="4">
        <f>VLOOKUP(G95,全部!C:AD,28,FALSE)</f>
        <v>8023835.04</v>
      </c>
      <c r="V95" s="6">
        <f>VLOOKUP(G95,全部!C:AE,29,FALSE)</f>
        <v>1</v>
      </c>
      <c r="W95" s="4">
        <f>VLOOKUP(G95,全部!C:AF,30,FALSE)</f>
        <v>7479804.75</v>
      </c>
      <c r="X95" s="4">
        <f>VLOOKUP(G95,全部!C:AG,31,FALSE)</f>
        <v>7479804.75</v>
      </c>
      <c r="Y95" s="4">
        <f>VLOOKUP(计算!G95,全部!C:AH,32,FALSE)</f>
        <v>7749964.75</v>
      </c>
      <c r="Z95" s="4">
        <f>VLOOKUP(G95,全部!C:AL,36,FALSE)</f>
        <v>7749964.75</v>
      </c>
      <c r="AA95" s="4">
        <f>VLOOKUP(G95,全部!C:AM,37,FALSE)</f>
        <v>3.4000000000000002E-2</v>
      </c>
      <c r="AB95" s="6">
        <f>VLOOKUP(G95,全部!C:AN,38,FALSE)</f>
        <v>272810.39136000001</v>
      </c>
      <c r="AC95" s="4">
        <f>VLOOKUP(G95,全部!C:AO,39,FALSE)</f>
        <v>272810</v>
      </c>
      <c r="AD95" s="4">
        <f>VLOOKUP(G95,全部!C:AP,40,FALSE)</f>
        <v>272810</v>
      </c>
      <c r="AE95" s="6">
        <f>VLOOKUP(G95,全部!C:AQ,41,FALSE)</f>
        <v>0</v>
      </c>
      <c r="AF95" s="4">
        <f>VLOOKUP(G95,全部!C:AR,42,FALSE)</f>
        <v>0</v>
      </c>
      <c r="AG95" s="7">
        <f>VLOOKUP(G95,全部!C:AS,43,FALSE)</f>
        <v>0</v>
      </c>
      <c r="AH95" s="64" t="str">
        <f>IF(VLOOKUP(G95,全部!C:AT,44,FALSE)=0,"",VLOOKUP(G95,全部!C:AT,44,FALSE))</f>
        <v/>
      </c>
      <c r="AI95">
        <v>0</v>
      </c>
      <c r="AJ95" s="3">
        <v>41912.686273148101</v>
      </c>
      <c r="AK95" s="2" t="s">
        <v>2044</v>
      </c>
    </row>
    <row r="96" spans="1:37" x14ac:dyDescent="0.15">
      <c r="A96" s="2" t="s">
        <v>2043</v>
      </c>
      <c r="B96">
        <v>125</v>
      </c>
      <c r="C96" s="3">
        <v>41426</v>
      </c>
      <c r="D96" s="2" t="s">
        <v>37</v>
      </c>
      <c r="E96" s="2" t="s">
        <v>2042</v>
      </c>
      <c r="F96" s="2" t="s">
        <v>41</v>
      </c>
      <c r="G96" s="2" t="s">
        <v>231</v>
      </c>
      <c r="H96" s="2" t="s">
        <v>232</v>
      </c>
      <c r="I96" s="4">
        <f>VLOOKUP(G96,全部!C:M,11,FALSE)</f>
        <v>773935.04</v>
      </c>
      <c r="J96" s="4">
        <f t="shared" si="1"/>
        <v>0</v>
      </c>
      <c r="K96" s="4">
        <f>VLOOKUP(计算!G96,全部!C:N,12,FALSE)</f>
        <v>0</v>
      </c>
      <c r="L96" s="5">
        <f>VLOOKUP(G96,全部!C:P,14,FALSE)</f>
        <v>0</v>
      </c>
      <c r="M96" s="5">
        <f>VLOOKUP(G96,全部!C:V,20,FALSE)*100</f>
        <v>4</v>
      </c>
      <c r="N96" s="6">
        <f>VLOOKUP(G96,全部!C:W,21,FALSE)</f>
        <v>30957.401600000001</v>
      </c>
      <c r="O96" s="4">
        <f>VLOOKUP(G96,全部!C:X,22,FALSE)</f>
        <v>30958</v>
      </c>
      <c r="P96" s="4">
        <f>VLOOKUP(G96,全部!C:Y,23,FALSE)</f>
        <v>30958</v>
      </c>
      <c r="Q96" s="6">
        <f>VLOOKUP(G96,全部!C:Z,24,FALSE)</f>
        <v>-0.59839999999894644</v>
      </c>
      <c r="R96" s="7">
        <f>VLOOKUP(G96,全部!C:AA,25,FALSE)</f>
        <v>0</v>
      </c>
      <c r="S96" s="7">
        <f>VLOOKUP(G96,全部!C:AB,26,FALSE)</f>
        <v>0</v>
      </c>
      <c r="T96" s="4">
        <f>VLOOKUP(计算!G96,全部!C:AC,27,FALSE)</f>
        <v>619147</v>
      </c>
      <c r="U96" s="4">
        <f>VLOOKUP(G96,全部!C:AD,28,FALSE)</f>
        <v>619147</v>
      </c>
      <c r="V96" s="6">
        <f>VLOOKUP(G96,全部!C:AE,29,FALSE)</f>
        <v>0.79999866655475371</v>
      </c>
      <c r="W96" s="4">
        <f>VLOOKUP(G96,全部!C:AF,30,FALSE)</f>
        <v>0</v>
      </c>
      <c r="X96" s="4">
        <f>VLOOKUP(G96,全部!C:AG,31,FALSE)</f>
        <v>0</v>
      </c>
      <c r="Y96" s="4">
        <f>VLOOKUP(计算!G96,全部!C:AH,32,FALSE)</f>
        <v>525687.91</v>
      </c>
      <c r="Z96" s="4">
        <f>VLOOKUP(G96,全部!C:AL,36,FALSE)</f>
        <v>525687.91</v>
      </c>
      <c r="AA96" s="4">
        <f>VLOOKUP(G96,全部!C:AM,37,FALSE)</f>
        <v>3.4000000000000002E-2</v>
      </c>
      <c r="AB96" s="6">
        <f>VLOOKUP(G96,全部!C:AN,38,FALSE)</f>
        <v>26313.791360000003</v>
      </c>
      <c r="AC96" s="4">
        <f>VLOOKUP(G96,全部!C:AO,39,FALSE)</f>
        <v>21051</v>
      </c>
      <c r="AD96" s="4">
        <f>VLOOKUP(G96,全部!C:AP,40,FALSE)</f>
        <v>21051</v>
      </c>
      <c r="AE96" s="6">
        <f>VLOOKUP(G96,全部!C:AQ,41,FALSE)</f>
        <v>5262.7913600000029</v>
      </c>
      <c r="AF96" s="4">
        <f>VLOOKUP(G96,全部!C:AR,42,FALSE)</f>
        <v>0</v>
      </c>
      <c r="AG96" s="7">
        <f>VLOOKUP(G96,全部!C:AS,43,FALSE)</f>
        <v>0</v>
      </c>
      <c r="AH96" s="64" t="str">
        <f>IF(VLOOKUP(G96,全部!C:AT,44,FALSE)=0,"",VLOOKUP(G96,全部!C:AT,44,FALSE))</f>
        <v/>
      </c>
      <c r="AI96">
        <v>0</v>
      </c>
      <c r="AJ96" s="3">
        <v>41912.6862384259</v>
      </c>
      <c r="AK96" s="2" t="s">
        <v>2041</v>
      </c>
    </row>
    <row r="97" spans="1:37" x14ac:dyDescent="0.15">
      <c r="A97" s="2" t="s">
        <v>2040</v>
      </c>
      <c r="B97">
        <v>826</v>
      </c>
      <c r="C97" s="3">
        <v>41438</v>
      </c>
      <c r="D97" s="2" t="s">
        <v>37</v>
      </c>
      <c r="E97" s="2" t="s">
        <v>2039</v>
      </c>
      <c r="F97" s="2" t="s">
        <v>38</v>
      </c>
      <c r="G97" s="2" t="s">
        <v>233</v>
      </c>
      <c r="H97" s="2" t="s">
        <v>234</v>
      </c>
      <c r="I97" s="4">
        <f>VLOOKUP(G97,全部!C:M,11,FALSE)</f>
        <v>15283442.58</v>
      </c>
      <c r="J97" s="4">
        <f t="shared" si="1"/>
        <v>1303649.56</v>
      </c>
      <c r="K97" s="4">
        <f>VLOOKUP(计算!G97,全部!C:N,12,FALSE)</f>
        <v>1303649.56</v>
      </c>
      <c r="L97" s="5">
        <f>VLOOKUP(G97,全部!C:P,14,FALSE)</f>
        <v>0</v>
      </c>
      <c r="M97" s="5">
        <f>VLOOKUP(G97,全部!C:V,20,FALSE)*100</f>
        <v>4</v>
      </c>
      <c r="N97" s="6">
        <f>VLOOKUP(G97,全部!C:W,21,FALSE)</f>
        <v>658269.08736</v>
      </c>
      <c r="O97" s="4">
        <f>VLOOKUP(G97,全部!C:X,22,FALSE)</f>
        <v>658269</v>
      </c>
      <c r="P97" s="4">
        <f>VLOOKUP(G97,全部!C:Y,23,FALSE)</f>
        <v>658269</v>
      </c>
      <c r="Q97" s="6">
        <f>VLOOKUP(G97,全部!C:Z,24,FALSE)</f>
        <v>0</v>
      </c>
      <c r="R97" s="7">
        <f>VLOOKUP(G97,全部!C:AA,25,FALSE)</f>
        <v>14335455.080000002</v>
      </c>
      <c r="S97" s="7">
        <f>VLOOKUP(G97,全部!C:AB,26,FALSE)</f>
        <v>14335455.08</v>
      </c>
      <c r="T97" s="4">
        <f>VLOOKUP(计算!G97,全部!C:AC,27,FALSE)</f>
        <v>13433095.440000001</v>
      </c>
      <c r="U97" s="4">
        <f>VLOOKUP(G97,全部!C:AD,28,FALSE)</f>
        <v>13433095.439999999</v>
      </c>
      <c r="V97" s="6">
        <f>VLOOKUP(G97,全部!C:AE,29,FALSE)</f>
        <v>0.80985234341382273</v>
      </c>
      <c r="W97" s="4">
        <f>VLOOKUP(G97,全部!C:AF,30,FALSE)</f>
        <v>13740016.289999999</v>
      </c>
      <c r="X97" s="4">
        <f>VLOOKUP(G97,全部!C:AG,31,FALSE)</f>
        <v>13740016.289999999</v>
      </c>
      <c r="Y97" s="4">
        <f>VLOOKUP(计算!G97,全部!C:AH,32,FALSE)</f>
        <v>14227421.289999999</v>
      </c>
      <c r="Z97" s="4">
        <f>VLOOKUP(G97,全部!C:AL,36,FALSE)</f>
        <v>14227421.289999999</v>
      </c>
      <c r="AA97" s="4">
        <f>VLOOKUP(G97,全部!C:AM,37,FALSE)</f>
        <v>3.4000000000000002E-2</v>
      </c>
      <c r="AB97" s="6">
        <f>VLOOKUP(G97,全部!C:AN,38,FALSE)</f>
        <v>487405.47272000002</v>
      </c>
      <c r="AC97" s="4">
        <f>VLOOKUP(G97,全部!C:AO,39,FALSE)</f>
        <v>487405</v>
      </c>
      <c r="AD97" s="4">
        <f>VLOOKUP(G97,全部!C:AP,40,FALSE)</f>
        <v>487405</v>
      </c>
      <c r="AE97" s="6">
        <f>VLOOKUP(G97,全部!C:AQ,41,FALSE)</f>
        <v>0.47272000001976267</v>
      </c>
      <c r="AF97" s="4">
        <f>VLOOKUP(G97,全部!C:AR,42,FALSE)</f>
        <v>0</v>
      </c>
      <c r="AG97" s="7">
        <f>VLOOKUP(G97,全部!C:AS,43,FALSE)</f>
        <v>0</v>
      </c>
      <c r="AH97" s="64" t="str">
        <f>IF(VLOOKUP(G97,全部!C:AT,44,FALSE)=0,"",VLOOKUP(G97,全部!C:AT,44,FALSE))</f>
        <v/>
      </c>
      <c r="AI97">
        <v>0</v>
      </c>
      <c r="AJ97" s="3">
        <v>41912.686273148101</v>
      </c>
      <c r="AK97" s="2" t="s">
        <v>2038</v>
      </c>
    </row>
    <row r="98" spans="1:37" x14ac:dyDescent="0.15">
      <c r="A98" s="2" t="s">
        <v>2037</v>
      </c>
      <c r="B98">
        <v>829</v>
      </c>
      <c r="C98" s="3">
        <v>41439</v>
      </c>
      <c r="D98" s="2" t="s">
        <v>37</v>
      </c>
      <c r="E98" s="2" t="s">
        <v>2036</v>
      </c>
      <c r="F98" s="2" t="s">
        <v>38</v>
      </c>
      <c r="G98" s="2" t="s">
        <v>235</v>
      </c>
      <c r="H98" s="2" t="s">
        <v>236</v>
      </c>
      <c r="I98" s="4">
        <f>VLOOKUP(G98,全部!C:M,11,FALSE)</f>
        <v>1712229.71</v>
      </c>
      <c r="J98" s="4">
        <f t="shared" si="1"/>
        <v>0</v>
      </c>
      <c r="K98" s="4">
        <f>VLOOKUP(计算!G98,全部!C:N,12,FALSE)</f>
        <v>0</v>
      </c>
      <c r="L98" s="5">
        <f>VLOOKUP(G98,全部!C:P,14,FALSE)</f>
        <v>0</v>
      </c>
      <c r="M98" s="5">
        <f>VLOOKUP(G98,全部!C:V,20,FALSE)*100</f>
        <v>3.5999999999999996</v>
      </c>
      <c r="N98" s="6">
        <f>VLOOKUP(G98,全部!C:W,21,FALSE)</f>
        <v>61640.269559999993</v>
      </c>
      <c r="O98" s="4">
        <f>VLOOKUP(G98,全部!C:X,22,FALSE)</f>
        <v>61640</v>
      </c>
      <c r="P98" s="4">
        <f>VLOOKUP(G98,全部!C:Y,23,FALSE)</f>
        <v>61640</v>
      </c>
      <c r="Q98" s="6">
        <f>VLOOKUP(G98,全部!C:Z,24,FALSE)</f>
        <v>0</v>
      </c>
      <c r="R98" s="7">
        <f>VLOOKUP(G98,全部!C:AA,25,FALSE)</f>
        <v>0</v>
      </c>
      <c r="S98" s="7">
        <f>VLOOKUP(G98,全部!C:AB,26,FALSE)</f>
        <v>0</v>
      </c>
      <c r="T98" s="4">
        <f>VLOOKUP(计算!G98,全部!C:AC,27,FALSE)</f>
        <v>0</v>
      </c>
      <c r="U98" s="4">
        <f>VLOOKUP(G98,全部!C:AD,28,FALSE)</f>
        <v>0</v>
      </c>
      <c r="V98" s="6">
        <f>VLOOKUP(G98,全部!C:AE,29,FALSE)</f>
        <v>0</v>
      </c>
      <c r="W98" s="4">
        <f>VLOOKUP(G98,全部!C:AF,30,FALSE)</f>
        <v>0</v>
      </c>
      <c r="X98" s="4">
        <f>VLOOKUP(G98,全部!C:AG,31,FALSE)</f>
        <v>0</v>
      </c>
      <c r="Y98" s="4">
        <f>VLOOKUP(计算!G98,全部!C:AH,32,FALSE)</f>
        <v>0</v>
      </c>
      <c r="Z98" s="4">
        <f>VLOOKUP(G98,全部!C:AL,36,FALSE)</f>
        <v>0</v>
      </c>
      <c r="AA98" s="4">
        <f>VLOOKUP(G98,全部!C:AM,37,FALSE)</f>
        <v>3.4000000000000002E-2</v>
      </c>
      <c r="AB98" s="6">
        <f>VLOOKUP(G98,全部!C:AN,38,FALSE)</f>
        <v>0</v>
      </c>
      <c r="AC98" s="4">
        <f>VLOOKUP(G98,全部!C:AO,39,FALSE)</f>
        <v>0</v>
      </c>
      <c r="AD98" s="4">
        <f>VLOOKUP(G98,全部!C:AP,40,FALSE)</f>
        <v>0</v>
      </c>
      <c r="AE98" s="6">
        <f>VLOOKUP(G98,全部!C:AQ,41,FALSE)</f>
        <v>0</v>
      </c>
      <c r="AF98" s="4">
        <f>VLOOKUP(G98,全部!C:AR,42,FALSE)</f>
        <v>0</v>
      </c>
      <c r="AG98" s="7">
        <f>VLOOKUP(G98,全部!C:AS,43,FALSE)</f>
        <v>19</v>
      </c>
      <c r="AH98" s="64" t="str">
        <f>IF(VLOOKUP(G98,全部!C:AT,44,FALSE)=0,"",VLOOKUP(G98,全部!C:AT,44,FALSE))</f>
        <v>三河</v>
      </c>
      <c r="AI98">
        <v>0</v>
      </c>
      <c r="AJ98" s="3">
        <v>41912.686273148101</v>
      </c>
      <c r="AK98" s="2" t="s">
        <v>2035</v>
      </c>
    </row>
    <row r="99" spans="1:37" x14ac:dyDescent="0.15">
      <c r="A99" s="2" t="s">
        <v>2034</v>
      </c>
      <c r="B99">
        <v>838</v>
      </c>
      <c r="C99" s="3">
        <v>41443</v>
      </c>
      <c r="D99" s="2" t="s">
        <v>37</v>
      </c>
      <c r="E99" s="2" t="s">
        <v>2033</v>
      </c>
      <c r="F99" s="2" t="s">
        <v>38</v>
      </c>
      <c r="G99" s="2" t="s">
        <v>237</v>
      </c>
      <c r="H99" s="2" t="s">
        <v>238</v>
      </c>
      <c r="I99" s="4">
        <f>VLOOKUP(G99,全部!C:M,11,FALSE)</f>
        <v>7389748</v>
      </c>
      <c r="J99" s="4">
        <f t="shared" si="1"/>
        <v>1116572</v>
      </c>
      <c r="K99" s="4">
        <f>VLOOKUP(计算!G99,全部!C:N,12,FALSE)</f>
        <v>1116572</v>
      </c>
      <c r="L99" s="5">
        <f>VLOOKUP(G99,全部!C:P,14,FALSE)</f>
        <v>0</v>
      </c>
      <c r="M99" s="5">
        <f>VLOOKUP(G99,全部!C:V,20,FALSE)*100</f>
        <v>3</v>
      </c>
      <c r="N99" s="6">
        <f>VLOOKUP(G99,全部!C:W,21,FALSE)</f>
        <v>255189.59999999998</v>
      </c>
      <c r="O99" s="4">
        <f>VLOOKUP(G99,全部!C:X,22,FALSE)</f>
        <v>255192.27</v>
      </c>
      <c r="P99" s="4">
        <f>VLOOKUP(G99,全部!C:Y,23,FALSE)</f>
        <v>255191.27</v>
      </c>
      <c r="Q99" s="6">
        <f>VLOOKUP(G99,全部!C:Z,24,FALSE)</f>
        <v>0</v>
      </c>
      <c r="R99" s="7">
        <f>VLOOKUP(G99,全部!C:AA,25,FALSE)</f>
        <v>8506320</v>
      </c>
      <c r="S99" s="7">
        <f>VLOOKUP(G99,全部!C:AB,26,FALSE)</f>
        <v>8506320</v>
      </c>
      <c r="T99" s="4">
        <f>VLOOKUP(计算!G99,全部!C:AC,27,FALSE)</f>
        <v>8506320</v>
      </c>
      <c r="U99" s="4">
        <f>VLOOKUP(G99,全部!C:AD,28,FALSE)</f>
        <v>8506320</v>
      </c>
      <c r="V99" s="6">
        <f>VLOOKUP(G99,全部!C:AE,29,FALSE)</f>
        <v>1</v>
      </c>
      <c r="W99" s="4">
        <f>VLOOKUP(G99,全部!C:AF,30,FALSE)</f>
        <v>8036530.9499999993</v>
      </c>
      <c r="X99" s="4">
        <f>VLOOKUP(G99,全部!C:AG,31,FALSE)</f>
        <v>8036530.9500000002</v>
      </c>
      <c r="Y99" s="4">
        <f>VLOOKUP(计算!G99,全部!C:AH,32,FALSE)</f>
        <v>8505439.0700000003</v>
      </c>
      <c r="Z99" s="4">
        <f>VLOOKUP(G99,全部!C:AL,36,FALSE)</f>
        <v>8505439.0700000003</v>
      </c>
      <c r="AA99" s="4">
        <f>VLOOKUP(G99,全部!C:AM,37,FALSE)</f>
        <v>3.4000000000000002E-2</v>
      </c>
      <c r="AB99" s="6">
        <f>VLOOKUP(G99,全部!C:AN,38,FALSE)</f>
        <v>289214.88</v>
      </c>
      <c r="AC99" s="4">
        <f>VLOOKUP(G99,全部!C:AO,39,FALSE)</f>
        <v>289214</v>
      </c>
      <c r="AD99" s="4">
        <f>VLOOKUP(G99,全部!C:AP,40,FALSE)</f>
        <v>289214</v>
      </c>
      <c r="AE99" s="6">
        <f>VLOOKUP(G99,全部!C:AQ,41,FALSE)</f>
        <v>0</v>
      </c>
      <c r="AF99" s="4">
        <f>VLOOKUP(G99,全部!C:AR,42,FALSE)</f>
        <v>0</v>
      </c>
      <c r="AG99" s="7">
        <f>VLOOKUP(G99,全部!C:AS,43,FALSE)</f>
        <v>50</v>
      </c>
      <c r="AH99" s="64" t="str">
        <f>IF(VLOOKUP(G99,全部!C:AT,44,FALSE)=0,"",VLOOKUP(G99,全部!C:AT,44,FALSE))</f>
        <v>管庄</v>
      </c>
      <c r="AI99">
        <v>0</v>
      </c>
      <c r="AJ99" s="3">
        <v>41912.686273148101</v>
      </c>
      <c r="AK99" s="2" t="s">
        <v>2032</v>
      </c>
    </row>
    <row r="100" spans="1:37" x14ac:dyDescent="0.15">
      <c r="A100" s="2" t="s">
        <v>2031</v>
      </c>
      <c r="B100">
        <v>130</v>
      </c>
      <c r="C100" s="3">
        <v>41456</v>
      </c>
      <c r="D100" s="2" t="s">
        <v>37</v>
      </c>
      <c r="E100" s="2" t="s">
        <v>2030</v>
      </c>
      <c r="F100" s="2" t="s">
        <v>41</v>
      </c>
      <c r="G100" s="2" t="s">
        <v>241</v>
      </c>
      <c r="H100" s="2" t="s">
        <v>242</v>
      </c>
      <c r="I100" s="4">
        <f>VLOOKUP(G100,全部!C:M,11,FALSE)</f>
        <v>238178</v>
      </c>
      <c r="J100" s="4">
        <f t="shared" si="1"/>
        <v>0</v>
      </c>
      <c r="K100" s="4">
        <f>VLOOKUP(计算!G100,全部!C:N,12,FALSE)</f>
        <v>0</v>
      </c>
      <c r="L100" s="5">
        <f>VLOOKUP(G100,全部!C:P,14,FALSE)</f>
        <v>0</v>
      </c>
      <c r="M100" s="5">
        <f>VLOOKUP(G100,全部!C:V,20,FALSE)*100</f>
        <v>4</v>
      </c>
      <c r="N100" s="6">
        <f>VLOOKUP(G100,全部!C:W,21,FALSE)</f>
        <v>9527.1200000000008</v>
      </c>
      <c r="O100" s="4">
        <f>VLOOKUP(G100,全部!C:X,22,FALSE)</f>
        <v>9569</v>
      </c>
      <c r="P100" s="4">
        <f>VLOOKUP(G100,全部!C:Y,23,FALSE)</f>
        <v>9569</v>
      </c>
      <c r="Q100" s="6">
        <f>VLOOKUP(G100,全部!C:Z,24,FALSE)</f>
        <v>-41.8799999999992</v>
      </c>
      <c r="R100" s="7">
        <f>VLOOKUP(G100,全部!C:AA,25,FALSE)</f>
        <v>0</v>
      </c>
      <c r="S100" s="7">
        <f>VLOOKUP(G100,全部!C:AB,26,FALSE)</f>
        <v>0</v>
      </c>
      <c r="T100" s="4">
        <f>VLOOKUP(计算!G100,全部!C:AC,27,FALSE)</f>
        <v>169089</v>
      </c>
      <c r="U100" s="4">
        <f>VLOOKUP(G100,全部!C:AD,28,FALSE)</f>
        <v>169089</v>
      </c>
      <c r="V100" s="6">
        <f>VLOOKUP(G100,全部!C:AE,29,FALSE)</f>
        <v>0.70992702936459284</v>
      </c>
      <c r="W100" s="4">
        <f>VLOOKUP(G100,全部!C:AF,30,FALSE)</f>
        <v>0</v>
      </c>
      <c r="X100" s="4">
        <f>VLOOKUP(G100,全部!C:AG,31,FALSE)</f>
        <v>0</v>
      </c>
      <c r="Y100" s="4">
        <f>VLOOKUP(计算!G100,全部!C:AH,32,FALSE)</f>
        <v>178578</v>
      </c>
      <c r="Z100" s="4">
        <f>VLOOKUP(G100,全部!C:AL,36,FALSE)</f>
        <v>178578</v>
      </c>
      <c r="AA100" s="4">
        <f>VLOOKUP(G100,全部!C:AM,37,FALSE)</f>
        <v>3.4599999999999999E-2</v>
      </c>
      <c r="AB100" s="6">
        <f>VLOOKUP(G100,全部!C:AN,38,FALSE)</f>
        <v>8240.9588000000003</v>
      </c>
      <c r="AC100" s="4">
        <f>VLOOKUP(G100,全部!C:AO,39,FALSE)</f>
        <v>8240.9599999999991</v>
      </c>
      <c r="AD100" s="4">
        <f>VLOOKUP(G100,全部!C:AP,40,FALSE)</f>
        <v>8240.9599999999991</v>
      </c>
      <c r="AE100" s="6">
        <f>VLOOKUP(G100,全部!C:AQ,41,FALSE)</f>
        <v>-1.1999999987892807E-3</v>
      </c>
      <c r="AF100" s="4">
        <f>VLOOKUP(G100,全部!C:AR,42,FALSE)</f>
        <v>0</v>
      </c>
      <c r="AG100" s="7">
        <f>VLOOKUP(G100,全部!C:AS,43,FALSE)</f>
        <v>0</v>
      </c>
      <c r="AH100" s="64" t="str">
        <f>IF(VLOOKUP(G100,全部!C:AT,44,FALSE)=0,"",VLOOKUP(G100,全部!C:AT,44,FALSE))</f>
        <v/>
      </c>
      <c r="AI100">
        <v>0</v>
      </c>
      <c r="AJ100" s="3">
        <v>41912.6862384259</v>
      </c>
      <c r="AK100" s="2" t="s">
        <v>2029</v>
      </c>
    </row>
    <row r="101" spans="1:37" x14ac:dyDescent="0.15">
      <c r="A101" s="2" t="s">
        <v>2028</v>
      </c>
      <c r="B101">
        <v>845</v>
      </c>
      <c r="C101" s="3">
        <v>41456</v>
      </c>
      <c r="D101" s="2" t="s">
        <v>37</v>
      </c>
      <c r="E101" s="2" t="s">
        <v>2027</v>
      </c>
      <c r="F101" s="2" t="s">
        <v>38</v>
      </c>
      <c r="G101" s="2" t="s">
        <v>239</v>
      </c>
      <c r="H101" s="2" t="s">
        <v>240</v>
      </c>
      <c r="I101" s="4">
        <f>VLOOKUP(G101,全部!C:M,11,FALSE)</f>
        <v>205000</v>
      </c>
      <c r="J101" s="4">
        <f t="shared" si="1"/>
        <v>0</v>
      </c>
      <c r="K101" s="4">
        <f>VLOOKUP(计算!G101,全部!C:N,12,FALSE)</f>
        <v>0</v>
      </c>
      <c r="L101" s="5">
        <f>VLOOKUP(G101,全部!C:P,14,FALSE)</f>
        <v>0</v>
      </c>
      <c r="M101" s="5">
        <f>VLOOKUP(G101,全部!C:V,20,FALSE)*100</f>
        <v>3.5999999999999996</v>
      </c>
      <c r="N101" s="6">
        <f>VLOOKUP(G101,全部!C:W,21,FALSE)</f>
        <v>7379.9999999999991</v>
      </c>
      <c r="O101" s="4">
        <f>VLOOKUP(G101,全部!C:X,22,FALSE)</f>
        <v>7380</v>
      </c>
      <c r="P101" s="4">
        <f>VLOOKUP(G101,全部!C:Y,23,FALSE)</f>
        <v>7380</v>
      </c>
      <c r="Q101" s="6">
        <f>VLOOKUP(G101,全部!C:Z,24,FALSE)</f>
        <v>0</v>
      </c>
      <c r="R101" s="7">
        <f>VLOOKUP(G101,全部!C:AA,25,FALSE)</f>
        <v>194750</v>
      </c>
      <c r="S101" s="7">
        <f>VLOOKUP(G101,全部!C:AB,26,FALSE)</f>
        <v>194750</v>
      </c>
      <c r="T101" s="4">
        <f>VLOOKUP(计算!G101,全部!C:AC,27,FALSE)</f>
        <v>194750</v>
      </c>
      <c r="U101" s="4">
        <f>VLOOKUP(G101,全部!C:AD,28,FALSE)</f>
        <v>194750</v>
      </c>
      <c r="V101" s="6">
        <f>VLOOKUP(G101,全部!C:AE,29,FALSE)</f>
        <v>0.95</v>
      </c>
      <c r="W101" s="4">
        <f>VLOOKUP(G101,全部!C:AF,30,FALSE)</f>
        <v>155447.20000000001</v>
      </c>
      <c r="X101" s="4">
        <f>VLOOKUP(G101,全部!C:AG,31,FALSE)</f>
        <v>155447.20000000001</v>
      </c>
      <c r="Y101" s="4">
        <f>VLOOKUP(计算!G101,全部!C:AH,32,FALSE)</f>
        <v>192069.2</v>
      </c>
      <c r="Z101" s="4">
        <f>VLOOKUP(G101,全部!C:AL,36,FALSE)</f>
        <v>192069.2</v>
      </c>
      <c r="AA101" s="4">
        <f>VLOOKUP(G101,全部!C:AM,37,FALSE)</f>
        <v>3.4000000000000002E-2</v>
      </c>
      <c r="AB101" s="6">
        <f>VLOOKUP(G101,全部!C:AN,38,FALSE)</f>
        <v>6621.5000000000009</v>
      </c>
      <c r="AC101" s="4">
        <f>VLOOKUP(G101,全部!C:AO,39,FALSE)</f>
        <v>6622</v>
      </c>
      <c r="AD101" s="4">
        <f>VLOOKUP(G101,全部!C:AP,40,FALSE)</f>
        <v>6622</v>
      </c>
      <c r="AE101" s="6">
        <f>VLOOKUP(G101,全部!C:AQ,41,FALSE)</f>
        <v>0</v>
      </c>
      <c r="AF101" s="4">
        <f>VLOOKUP(G101,全部!C:AR,42,FALSE)</f>
        <v>0</v>
      </c>
      <c r="AG101" s="7">
        <f>VLOOKUP(G101,全部!C:AS,43,FALSE)</f>
        <v>0</v>
      </c>
      <c r="AH101" s="64" t="str">
        <f>IF(VLOOKUP(G101,全部!C:AT,44,FALSE)=0,"",VLOOKUP(G101,全部!C:AT,44,FALSE))</f>
        <v/>
      </c>
      <c r="AI101">
        <v>0</v>
      </c>
      <c r="AJ101" s="3">
        <v>41912.686273148101</v>
      </c>
      <c r="AK101" s="2" t="s">
        <v>2026</v>
      </c>
    </row>
    <row r="102" spans="1:37" x14ac:dyDescent="0.15">
      <c r="A102" s="2" t="s">
        <v>2025</v>
      </c>
      <c r="B102">
        <v>847</v>
      </c>
      <c r="C102" s="3">
        <v>41457</v>
      </c>
      <c r="D102" s="2" t="s">
        <v>37</v>
      </c>
      <c r="E102" s="2" t="s">
        <v>2024</v>
      </c>
      <c r="F102" s="2" t="s">
        <v>38</v>
      </c>
      <c r="G102" s="2" t="s">
        <v>243</v>
      </c>
      <c r="H102" s="2" t="s">
        <v>244</v>
      </c>
      <c r="I102" s="4">
        <f>VLOOKUP(G102,全部!C:M,11,FALSE)</f>
        <v>5287718</v>
      </c>
      <c r="J102" s="4">
        <f t="shared" si="1"/>
        <v>0</v>
      </c>
      <c r="K102" s="4">
        <f>VLOOKUP(计算!G102,全部!C:N,12,FALSE)</f>
        <v>0</v>
      </c>
      <c r="L102" s="5">
        <f>VLOOKUP(G102,全部!C:P,14,FALSE)</f>
        <v>0</v>
      </c>
      <c r="M102" s="5">
        <f>VLOOKUP(G102,全部!C:V,20,FALSE)*100</f>
        <v>3</v>
      </c>
      <c r="N102" s="6">
        <f>VLOOKUP(G102,全部!C:W,21,FALSE)</f>
        <v>158631.54</v>
      </c>
      <c r="O102" s="4">
        <f>VLOOKUP(G102,全部!C:X,22,FALSE)</f>
        <v>0</v>
      </c>
      <c r="P102" s="4">
        <f>VLOOKUP(G102,全部!C:Y,23,FALSE)</f>
        <v>0</v>
      </c>
      <c r="Q102" s="6">
        <f>VLOOKUP(G102,全部!C:Z,24,FALSE)</f>
        <v>158631.54</v>
      </c>
      <c r="R102" s="7">
        <f>VLOOKUP(G102,全部!C:AA,25,FALSE)</f>
        <v>0</v>
      </c>
      <c r="S102" s="7">
        <f>VLOOKUP(G102,全部!C:AB,26,FALSE)</f>
        <v>0</v>
      </c>
      <c r="T102" s="4">
        <f>VLOOKUP(计算!G102,全部!C:AC,27,FALSE)</f>
        <v>0</v>
      </c>
      <c r="U102" s="4">
        <f>VLOOKUP(G102,全部!C:AD,28,FALSE)</f>
        <v>0</v>
      </c>
      <c r="V102" s="6">
        <f>VLOOKUP(G102,全部!C:AE,29,FALSE)</f>
        <v>0</v>
      </c>
      <c r="W102" s="4">
        <f>VLOOKUP(G102,全部!C:AF,30,FALSE)</f>
        <v>0</v>
      </c>
      <c r="X102" s="4">
        <f>VLOOKUP(G102,全部!C:AG,31,FALSE)</f>
        <v>0</v>
      </c>
      <c r="Y102" s="4">
        <f>VLOOKUP(计算!G102,全部!C:AH,32,FALSE)</f>
        <v>0</v>
      </c>
      <c r="Z102" s="4">
        <f>VLOOKUP(G102,全部!C:AL,36,FALSE)</f>
        <v>0</v>
      </c>
      <c r="AA102" s="4">
        <f>VLOOKUP(G102,全部!C:AM,37,FALSE)</f>
        <v>3.4000000000000002E-2</v>
      </c>
      <c r="AB102" s="6">
        <f>VLOOKUP(G102,全部!C:AN,38,FALSE)</f>
        <v>0</v>
      </c>
      <c r="AC102" s="4">
        <f>VLOOKUP(G102,全部!C:AO,39,FALSE)</f>
        <v>0</v>
      </c>
      <c r="AD102" s="4">
        <f>VLOOKUP(G102,全部!C:AP,40,FALSE)</f>
        <v>0</v>
      </c>
      <c r="AE102" s="6">
        <f>VLOOKUP(G102,全部!C:AQ,41,FALSE)</f>
        <v>0</v>
      </c>
      <c r="AF102" s="4">
        <f>VLOOKUP(G102,全部!C:AR,42,FALSE)</f>
        <v>0</v>
      </c>
      <c r="AG102" s="7">
        <f>VLOOKUP(G102,全部!C:AS,43,FALSE)</f>
        <v>15</v>
      </c>
      <c r="AH102" s="64" t="str">
        <f>IF(VLOOKUP(G102,全部!C:AT,44,FALSE)=0,"",VLOOKUP(G102,全部!C:AT,44,FALSE))</f>
        <v>管庄</v>
      </c>
      <c r="AI102">
        <v>0</v>
      </c>
      <c r="AJ102" s="3">
        <v>41912.686273148101</v>
      </c>
      <c r="AK102" s="2" t="s">
        <v>2023</v>
      </c>
    </row>
    <row r="103" spans="1:37" x14ac:dyDescent="0.15">
      <c r="A103" s="2" t="s">
        <v>2022</v>
      </c>
      <c r="B103">
        <v>854</v>
      </c>
      <c r="C103" s="3">
        <v>41459</v>
      </c>
      <c r="D103" s="2" t="s">
        <v>37</v>
      </c>
      <c r="E103" s="2" t="s">
        <v>2021</v>
      </c>
      <c r="F103" s="2" t="s">
        <v>38</v>
      </c>
      <c r="G103" s="2" t="s">
        <v>245</v>
      </c>
      <c r="H103" s="2" t="s">
        <v>246</v>
      </c>
      <c r="I103" s="4">
        <f>VLOOKUP(G103,全部!C:M,11,FALSE)</f>
        <v>2440063.9</v>
      </c>
      <c r="J103" s="4">
        <f t="shared" si="1"/>
        <v>0</v>
      </c>
      <c r="K103" s="4">
        <f>VLOOKUP(计算!G103,全部!C:N,12,FALSE)</f>
        <v>0</v>
      </c>
      <c r="L103" s="5">
        <f>VLOOKUP(G103,全部!C:P,14,FALSE)</f>
        <v>0</v>
      </c>
      <c r="M103" s="5">
        <f>VLOOKUP(G103,全部!C:V,20,FALSE)*100</f>
        <v>4.5999999999999996</v>
      </c>
      <c r="N103" s="6">
        <f>VLOOKUP(G103,全部!C:W,21,FALSE)</f>
        <v>112242.93939999999</v>
      </c>
      <c r="O103" s="4">
        <f>VLOOKUP(G103,全部!C:X,22,FALSE)</f>
        <v>112243.75</v>
      </c>
      <c r="P103" s="4">
        <f>VLOOKUP(G103,全部!C:Y,23,FALSE)</f>
        <v>112243.75</v>
      </c>
      <c r="Q103" s="6">
        <f>VLOOKUP(G103,全部!C:Z,24,FALSE)</f>
        <v>0</v>
      </c>
      <c r="R103" s="7">
        <f>VLOOKUP(G103,全部!C:AA,25,FALSE)</f>
        <v>2352756.3200000003</v>
      </c>
      <c r="S103" s="7">
        <f>VLOOKUP(G103,全部!C:AB,26,FALSE)</f>
        <v>2352756.3199999998</v>
      </c>
      <c r="T103" s="4">
        <f>VLOOKUP(计算!G103,全部!C:AC,27,FALSE)</f>
        <v>1952051.12</v>
      </c>
      <c r="U103" s="4">
        <f>VLOOKUP(G103,全部!C:AD,28,FALSE)</f>
        <v>1952051.12</v>
      </c>
      <c r="V103" s="6">
        <f>VLOOKUP(G103,全部!C:AE,29,FALSE)</f>
        <v>0.8</v>
      </c>
      <c r="W103" s="4">
        <f>VLOOKUP(G103,全部!C:AF,30,FALSE)</f>
        <v>1554257.75</v>
      </c>
      <c r="X103" s="4">
        <f>VLOOKUP(G103,全部!C:AG,31,FALSE)</f>
        <v>1554257.75</v>
      </c>
      <c r="Y103" s="4">
        <f>VLOOKUP(计算!G103,全部!C:AH,32,FALSE)</f>
        <v>1936975.93</v>
      </c>
      <c r="Z103" s="4">
        <f>VLOOKUP(G103,全部!C:AL,36,FALSE)</f>
        <v>1936975.93</v>
      </c>
      <c r="AA103" s="4">
        <f>VLOOKUP(G103,全部!C:AM,37,FALSE)</f>
        <v>3.7400000000000003E-2</v>
      </c>
      <c r="AB103" s="6">
        <f>VLOOKUP(G103,全部!C:AN,38,FALSE)</f>
        <v>87993.086368000004</v>
      </c>
      <c r="AC103" s="4">
        <f>VLOOKUP(G103,全部!C:AO,39,FALSE)</f>
        <v>87993.09</v>
      </c>
      <c r="AD103" s="4">
        <f>VLOOKUP(G103,全部!C:AP,40,FALSE)</f>
        <v>87993.09</v>
      </c>
      <c r="AE103" s="6">
        <f>VLOOKUP(G103,全部!C:AQ,41,FALSE)</f>
        <v>0</v>
      </c>
      <c r="AF103" s="4">
        <f>VLOOKUP(G103,全部!C:AR,42,FALSE)</f>
        <v>0</v>
      </c>
      <c r="AG103" s="7">
        <f>VLOOKUP(G103,全部!C:AS,43,FALSE)</f>
        <v>0</v>
      </c>
      <c r="AH103" s="64" t="str">
        <f>IF(VLOOKUP(G103,全部!C:AT,44,FALSE)=0,"",VLOOKUP(G103,全部!C:AT,44,FALSE))</f>
        <v/>
      </c>
      <c r="AI103">
        <v>0</v>
      </c>
      <c r="AJ103" s="3">
        <v>41912.686273148101</v>
      </c>
      <c r="AK103" s="2" t="s">
        <v>2020</v>
      </c>
    </row>
    <row r="104" spans="1:37" x14ac:dyDescent="0.15">
      <c r="A104" s="2" t="s">
        <v>2019</v>
      </c>
      <c r="B104">
        <v>861</v>
      </c>
      <c r="C104" s="3">
        <v>41470</v>
      </c>
      <c r="D104" s="2" t="s">
        <v>37</v>
      </c>
      <c r="E104" s="2" t="s">
        <v>2018</v>
      </c>
      <c r="F104" s="2" t="s">
        <v>38</v>
      </c>
      <c r="G104" s="2" t="s">
        <v>247</v>
      </c>
      <c r="H104" s="2" t="s">
        <v>248</v>
      </c>
      <c r="I104" s="4">
        <f>VLOOKUP(G104,全部!C:M,11,FALSE)</f>
        <v>1457017.94</v>
      </c>
      <c r="J104" s="4">
        <f t="shared" si="1"/>
        <v>0</v>
      </c>
      <c r="K104" s="4">
        <f>VLOOKUP(计算!G104,全部!C:N,12,FALSE)</f>
        <v>0</v>
      </c>
      <c r="L104" s="5">
        <f>VLOOKUP(G104,全部!C:P,14,FALSE)</f>
        <v>0</v>
      </c>
      <c r="M104" s="5">
        <f>VLOOKUP(G104,全部!C:V,20,FALSE)*100</f>
        <v>3.5999999999999996</v>
      </c>
      <c r="N104" s="6">
        <f>VLOOKUP(G104,全部!C:W,21,FALSE)</f>
        <v>52452.645839999997</v>
      </c>
      <c r="O104" s="4">
        <f>VLOOKUP(G104,全部!C:X,22,FALSE)</f>
        <v>52453</v>
      </c>
      <c r="P104" s="4">
        <f>VLOOKUP(G104,全部!C:Y,23,FALSE)</f>
        <v>52453</v>
      </c>
      <c r="Q104" s="6">
        <f>VLOOKUP(G104,全部!C:Z,24,FALSE)</f>
        <v>0</v>
      </c>
      <c r="R104" s="7">
        <f>VLOOKUP(G104,全部!C:AA,25,FALSE)</f>
        <v>1400000</v>
      </c>
      <c r="S104" s="7">
        <f>VLOOKUP(G104,全部!C:AB,26,FALSE)</f>
        <v>1400000</v>
      </c>
      <c r="T104" s="4">
        <f>VLOOKUP(计算!G104,全部!C:AC,27,FALSE)</f>
        <v>1400000</v>
      </c>
      <c r="U104" s="4">
        <f>VLOOKUP(G104,全部!C:AD,28,FALSE)</f>
        <v>1400000</v>
      </c>
      <c r="V104" s="6">
        <f>VLOOKUP(G104,全部!C:AE,29,FALSE)</f>
        <v>0.96086668637724537</v>
      </c>
      <c r="W104" s="4">
        <f>VLOOKUP(G104,全部!C:AF,30,FALSE)</f>
        <v>1335000</v>
      </c>
      <c r="X104" s="4">
        <f>VLOOKUP(G104,全部!C:AG,31,FALSE)</f>
        <v>1335000</v>
      </c>
      <c r="Y104" s="4">
        <f>VLOOKUP(计算!G104,全部!C:AH,32,FALSE)</f>
        <v>1384348</v>
      </c>
      <c r="Z104" s="4">
        <f>VLOOKUP(G104,全部!C:AL,36,FALSE)</f>
        <v>1384348</v>
      </c>
      <c r="AA104" s="4">
        <f>VLOOKUP(G104,全部!C:AM,37,FALSE)</f>
        <v>3.4000000000000002E-2</v>
      </c>
      <c r="AB104" s="6">
        <f>VLOOKUP(G104,全部!C:AN,38,FALSE)</f>
        <v>47600</v>
      </c>
      <c r="AC104" s="4">
        <f>VLOOKUP(G104,全部!C:AO,39,FALSE)</f>
        <v>47600</v>
      </c>
      <c r="AD104" s="4">
        <f>VLOOKUP(G104,全部!C:AP,40,FALSE)</f>
        <v>47600</v>
      </c>
      <c r="AE104" s="6">
        <f>VLOOKUP(G104,全部!C:AQ,41,FALSE)</f>
        <v>0</v>
      </c>
      <c r="AF104" s="4">
        <f>VLOOKUP(G104,全部!C:AR,42,FALSE)</f>
        <v>0</v>
      </c>
      <c r="AG104" s="7">
        <f>VLOOKUP(G104,全部!C:AS,43,FALSE)</f>
        <v>0</v>
      </c>
      <c r="AH104" s="64" t="str">
        <f>IF(VLOOKUP(G104,全部!C:AT,44,FALSE)=0,"",VLOOKUP(G104,全部!C:AT,44,FALSE))</f>
        <v/>
      </c>
      <c r="AI104">
        <v>0</v>
      </c>
      <c r="AJ104" s="3">
        <v>41912.686273148101</v>
      </c>
      <c r="AK104" s="2" t="s">
        <v>2017</v>
      </c>
    </row>
    <row r="105" spans="1:37" x14ac:dyDescent="0.15">
      <c r="A105" s="2" t="s">
        <v>2016</v>
      </c>
      <c r="B105">
        <v>865</v>
      </c>
      <c r="C105" s="3">
        <v>41472</v>
      </c>
      <c r="D105" s="2" t="s">
        <v>37</v>
      </c>
      <c r="E105" s="2" t="s">
        <v>2015</v>
      </c>
      <c r="F105" s="2" t="s">
        <v>38</v>
      </c>
      <c r="G105" s="2" t="s">
        <v>249</v>
      </c>
      <c r="H105" s="2" t="s">
        <v>250</v>
      </c>
      <c r="I105" s="4">
        <f>VLOOKUP(G105,全部!C:M,11,FALSE)</f>
        <v>190000</v>
      </c>
      <c r="J105" s="4">
        <f t="shared" si="1"/>
        <v>0</v>
      </c>
      <c r="K105" s="4">
        <f>VLOOKUP(计算!G105,全部!C:N,12,FALSE)</f>
        <v>0</v>
      </c>
      <c r="L105" s="5">
        <f>VLOOKUP(G105,全部!C:P,14,FALSE)</f>
        <v>0</v>
      </c>
      <c r="M105" s="5">
        <f>VLOOKUP(G105,全部!C:V,20,FALSE)*100</f>
        <v>3.5999999999999996</v>
      </c>
      <c r="N105" s="6">
        <f>VLOOKUP(G105,全部!C:W,21,FALSE)</f>
        <v>6839.9999999999991</v>
      </c>
      <c r="O105" s="4">
        <f>VLOOKUP(G105,全部!C:X,22,FALSE)</f>
        <v>0</v>
      </c>
      <c r="P105" s="4">
        <f>VLOOKUP(G105,全部!C:Y,23,FALSE)</f>
        <v>0</v>
      </c>
      <c r="Q105" s="6">
        <f>VLOOKUP(G105,全部!C:Z,24,FALSE)</f>
        <v>6839.9999999999991</v>
      </c>
      <c r="R105" s="7">
        <f>VLOOKUP(G105,全部!C:AA,25,FALSE)</f>
        <v>180500</v>
      </c>
      <c r="S105" s="7">
        <f>VLOOKUP(G105,全部!C:AB,26,FALSE)</f>
        <v>180500</v>
      </c>
      <c r="T105" s="4">
        <f>VLOOKUP(计算!G105,全部!C:AC,27,FALSE)</f>
        <v>57000</v>
      </c>
      <c r="U105" s="4">
        <f>VLOOKUP(G105,全部!C:AD,28,FALSE)</f>
        <v>57000</v>
      </c>
      <c r="V105" s="6">
        <f>VLOOKUP(G105,全部!C:AE,29,FALSE)</f>
        <v>0.3</v>
      </c>
      <c r="W105" s="4">
        <f>VLOOKUP(G105,全部!C:AF,30,FALSE)</f>
        <v>0</v>
      </c>
      <c r="X105" s="4">
        <f>VLOOKUP(G105,全部!C:AG,31,FALSE)</f>
        <v>0</v>
      </c>
      <c r="Y105" s="4">
        <f>VLOOKUP(计算!G105,全部!C:AH,32,FALSE)</f>
        <v>50000</v>
      </c>
      <c r="Z105" s="4">
        <f>VLOOKUP(G105,全部!C:AL,36,FALSE)</f>
        <v>50000</v>
      </c>
      <c r="AA105" s="4">
        <f>VLOOKUP(G105,全部!C:AM,37,FALSE)</f>
        <v>3.4000000000000002E-2</v>
      </c>
      <c r="AB105" s="6">
        <f>VLOOKUP(G105,全部!C:AN,38,FALSE)</f>
        <v>6137</v>
      </c>
      <c r="AC105" s="4">
        <f>VLOOKUP(G105,全部!C:AO,39,FALSE)</f>
        <v>0</v>
      </c>
      <c r="AD105" s="4">
        <f>VLOOKUP(G105,全部!C:AP,40,FALSE)</f>
        <v>0</v>
      </c>
      <c r="AE105" s="6">
        <f>VLOOKUP(G105,全部!C:AQ,41,FALSE)</f>
        <v>6137</v>
      </c>
      <c r="AF105" s="4">
        <f>VLOOKUP(G105,全部!C:AR,42,FALSE)</f>
        <v>0</v>
      </c>
      <c r="AG105" s="7">
        <f>VLOOKUP(G105,全部!C:AS,43,FALSE)</f>
        <v>0</v>
      </c>
      <c r="AH105" s="64" t="str">
        <f>IF(VLOOKUP(G105,全部!C:AT,44,FALSE)=0,"",VLOOKUP(G105,全部!C:AT,44,FALSE))</f>
        <v/>
      </c>
      <c r="AI105">
        <v>0</v>
      </c>
      <c r="AJ105" s="3">
        <v>41912.686273148101</v>
      </c>
      <c r="AK105" s="2" t="s">
        <v>2014</v>
      </c>
    </row>
    <row r="106" spans="1:37" x14ac:dyDescent="0.15">
      <c r="A106" s="2" t="s">
        <v>2013</v>
      </c>
      <c r="B106">
        <v>872</v>
      </c>
      <c r="C106" s="3">
        <v>41484</v>
      </c>
      <c r="D106" s="2" t="s">
        <v>37</v>
      </c>
      <c r="E106" s="2" t="s">
        <v>2012</v>
      </c>
      <c r="F106" s="2" t="s">
        <v>38</v>
      </c>
      <c r="G106" s="2" t="s">
        <v>251</v>
      </c>
      <c r="H106" s="2" t="s">
        <v>252</v>
      </c>
      <c r="I106" s="4">
        <f>VLOOKUP(G106,全部!C:M,11,FALSE)</f>
        <v>2768475</v>
      </c>
      <c r="J106" s="4">
        <f t="shared" si="1"/>
        <v>0</v>
      </c>
      <c r="K106" s="4">
        <f>VLOOKUP(计算!G106,全部!C:N,12,FALSE)</f>
        <v>0</v>
      </c>
      <c r="L106" s="5">
        <f>VLOOKUP(G106,全部!C:P,14,FALSE)</f>
        <v>0</v>
      </c>
      <c r="M106" s="5">
        <f>VLOOKUP(G106,全部!C:V,20,FALSE)*100</f>
        <v>3.5999999999999996</v>
      </c>
      <c r="N106" s="6">
        <f>VLOOKUP(G106,全部!C:W,21,FALSE)</f>
        <v>99665.099999999991</v>
      </c>
      <c r="O106" s="4">
        <f>VLOOKUP(G106,全部!C:X,22,FALSE)</f>
        <v>99665</v>
      </c>
      <c r="P106" s="4">
        <f>VLOOKUP(G106,全部!C:Y,23,FALSE)</f>
        <v>99665</v>
      </c>
      <c r="Q106" s="6">
        <f>VLOOKUP(G106,全部!C:Z,24,FALSE)</f>
        <v>0</v>
      </c>
      <c r="R106" s="7">
        <f>VLOOKUP(G106,全部!C:AA,25,FALSE)</f>
        <v>2353204</v>
      </c>
      <c r="S106" s="7">
        <f>VLOOKUP(G106,全部!C:AB,26,FALSE)</f>
        <v>2353204</v>
      </c>
      <c r="T106" s="4">
        <f>VLOOKUP(计算!G106,全部!C:AC,27,FALSE)</f>
        <v>2353204</v>
      </c>
      <c r="U106" s="4">
        <f>VLOOKUP(G106,全部!C:AD,28,FALSE)</f>
        <v>2353204</v>
      </c>
      <c r="V106" s="6">
        <f>VLOOKUP(G106,全部!C:AE,29,FALSE)</f>
        <v>0.85000009030242285</v>
      </c>
      <c r="W106" s="4">
        <f>VLOOKUP(G106,全部!C:AF,30,FALSE)</f>
        <v>2021228.99</v>
      </c>
      <c r="X106" s="4">
        <f>VLOOKUP(G106,全部!C:AG,31,FALSE)</f>
        <v>2021228.99</v>
      </c>
      <c r="Y106" s="4">
        <f>VLOOKUP(计算!G106,全部!C:AH,32,FALSE)</f>
        <v>2338304.9900000002</v>
      </c>
      <c r="Z106" s="4">
        <f>VLOOKUP(G106,全部!C:AL,36,FALSE)</f>
        <v>2338304.9900000002</v>
      </c>
      <c r="AA106" s="4">
        <f>VLOOKUP(G106,全部!C:AM,37,FALSE)</f>
        <v>3.4000000000000002E-2</v>
      </c>
      <c r="AB106" s="6">
        <f>VLOOKUP(G106,全部!C:AN,38,FALSE)</f>
        <v>80008.936000000002</v>
      </c>
      <c r="AC106" s="4">
        <f>VLOOKUP(G106,全部!C:AO,39,FALSE)</f>
        <v>80009</v>
      </c>
      <c r="AD106" s="4">
        <f>VLOOKUP(G106,全部!C:AP,40,FALSE)</f>
        <v>80009</v>
      </c>
      <c r="AE106" s="6">
        <f>VLOOKUP(G106,全部!C:AQ,41,FALSE)</f>
        <v>0</v>
      </c>
      <c r="AF106" s="4">
        <f>VLOOKUP(G106,全部!C:AR,42,FALSE)</f>
        <v>0</v>
      </c>
      <c r="AG106" s="7">
        <f>VLOOKUP(G106,全部!C:AS,43,FALSE)</f>
        <v>0</v>
      </c>
      <c r="AH106" s="64" t="str">
        <f>IF(VLOOKUP(G106,全部!C:AT,44,FALSE)=0,"",VLOOKUP(G106,全部!C:AT,44,FALSE))</f>
        <v/>
      </c>
      <c r="AI106">
        <v>0</v>
      </c>
      <c r="AJ106" s="3">
        <v>41912.686273148101</v>
      </c>
      <c r="AK106" s="2" t="s">
        <v>2011</v>
      </c>
    </row>
    <row r="107" spans="1:37" x14ac:dyDescent="0.15">
      <c r="A107" s="2" t="s">
        <v>2010</v>
      </c>
      <c r="B107">
        <v>880</v>
      </c>
      <c r="C107" s="3">
        <v>41484</v>
      </c>
      <c r="D107" s="2" t="s">
        <v>37</v>
      </c>
      <c r="E107" s="2" t="s">
        <v>2009</v>
      </c>
      <c r="F107" s="2" t="s">
        <v>38</v>
      </c>
      <c r="G107" s="2" t="s">
        <v>253</v>
      </c>
      <c r="H107" s="2" t="s">
        <v>254</v>
      </c>
      <c r="I107" s="4">
        <f>VLOOKUP(G107,全部!C:M,11,FALSE)</f>
        <v>19543207.129999999</v>
      </c>
      <c r="J107" s="4">
        <f t="shared" si="1"/>
        <v>0</v>
      </c>
      <c r="K107" s="4">
        <f>VLOOKUP(计算!G107,全部!C:N,12,FALSE)</f>
        <v>0</v>
      </c>
      <c r="L107" s="5">
        <f>VLOOKUP(G107,全部!C:P,14,FALSE)</f>
        <v>0</v>
      </c>
      <c r="M107" s="5">
        <f>VLOOKUP(G107,全部!C:V,20,FALSE)*100</f>
        <v>3</v>
      </c>
      <c r="N107" s="6">
        <f>VLOOKUP(G107,全部!C:W,21,FALSE)</f>
        <v>586296.21389999997</v>
      </c>
      <c r="O107" s="4">
        <f>VLOOKUP(G107,全部!C:X,22,FALSE)</f>
        <v>586297</v>
      </c>
      <c r="P107" s="4">
        <f>VLOOKUP(G107,全部!C:Y,23,FALSE)</f>
        <v>586297</v>
      </c>
      <c r="Q107" s="6">
        <f>VLOOKUP(G107,全部!C:Z,24,FALSE)</f>
        <v>0</v>
      </c>
      <c r="R107" s="7">
        <f>VLOOKUP(G107,全部!C:AA,25,FALSE)</f>
        <v>12820000</v>
      </c>
      <c r="S107" s="7">
        <f>VLOOKUP(G107,全部!C:AB,26,FALSE)</f>
        <v>12820000</v>
      </c>
      <c r="T107" s="4">
        <f>VLOOKUP(计算!G107,全部!C:AC,27,FALSE)</f>
        <v>7790000</v>
      </c>
      <c r="U107" s="4">
        <f>VLOOKUP(G107,全部!C:AD,28,FALSE)</f>
        <v>7790000</v>
      </c>
      <c r="V107" s="6">
        <f>VLOOKUP(G107,全部!C:AE,29,FALSE)</f>
        <v>0.39860397263261266</v>
      </c>
      <c r="W107" s="4">
        <f>VLOOKUP(G107,全部!C:AF,30,FALSE)</f>
        <v>10117250.52</v>
      </c>
      <c r="X107" s="4">
        <f>VLOOKUP(G107,全部!C:AG,31,FALSE)</f>
        <v>10117250.52</v>
      </c>
      <c r="Y107" s="4">
        <f>VLOOKUP(计算!G107,全部!C:AH,32,FALSE)</f>
        <v>10577625.82</v>
      </c>
      <c r="Z107" s="4">
        <f>VLOOKUP(G107,全部!C:AL,36,FALSE)</f>
        <v>10577625.82</v>
      </c>
      <c r="AA107" s="4">
        <f>VLOOKUP(G107,全部!C:AM,37,FALSE)</f>
        <v>3.4000000000000002E-2</v>
      </c>
      <c r="AB107" s="6">
        <f>VLOOKUP(G107,全部!C:AN,38,FALSE)</f>
        <v>435880.00000000006</v>
      </c>
      <c r="AC107" s="4">
        <f>VLOOKUP(G107,全部!C:AO,39,FALSE)</f>
        <v>232900</v>
      </c>
      <c r="AD107" s="4">
        <f>VLOOKUP(G107,全部!C:AP,40,FALSE)</f>
        <v>232900</v>
      </c>
      <c r="AE107" s="6">
        <f>VLOOKUP(G107,全部!C:AQ,41,FALSE)</f>
        <v>0</v>
      </c>
      <c r="AF107" s="4">
        <f>VLOOKUP(G107,全部!C:AR,42,FALSE)</f>
        <v>0</v>
      </c>
      <c r="AG107" s="7">
        <f>VLOOKUP(G107,全部!C:AS,43,FALSE)</f>
        <v>96</v>
      </c>
      <c r="AH107" s="64" t="str">
        <f>IF(VLOOKUP(G107,全部!C:AT,44,FALSE)=0,"",VLOOKUP(G107,全部!C:AT,44,FALSE))</f>
        <v>管庄</v>
      </c>
      <c r="AI107">
        <v>0</v>
      </c>
      <c r="AJ107" s="3">
        <v>41912.686273148101</v>
      </c>
      <c r="AK107" s="2" t="s">
        <v>2008</v>
      </c>
    </row>
    <row r="108" spans="1:37" x14ac:dyDescent="0.15">
      <c r="A108" s="2" t="s">
        <v>2007</v>
      </c>
      <c r="B108">
        <v>896</v>
      </c>
      <c r="C108" s="3">
        <v>41487</v>
      </c>
      <c r="D108" s="2" t="s">
        <v>37</v>
      </c>
      <c r="E108" s="2" t="s">
        <v>2006</v>
      </c>
      <c r="F108" s="2" t="s">
        <v>38</v>
      </c>
      <c r="G108" s="2" t="s">
        <v>257</v>
      </c>
      <c r="H108" s="2" t="s">
        <v>258</v>
      </c>
      <c r="I108" s="4">
        <f>VLOOKUP(G108,全部!C:M,11,FALSE)</f>
        <v>3427568</v>
      </c>
      <c r="J108" s="4">
        <f t="shared" si="1"/>
        <v>0</v>
      </c>
      <c r="K108" s="4">
        <f>VLOOKUP(计算!G108,全部!C:N,12,FALSE)</f>
        <v>0</v>
      </c>
      <c r="L108" s="5">
        <f>VLOOKUP(G108,全部!C:P,14,FALSE)</f>
        <v>0</v>
      </c>
      <c r="M108" s="5">
        <f>VLOOKUP(G108,全部!C:V,20,FALSE)*100</f>
        <v>3</v>
      </c>
      <c r="N108" s="6">
        <f>VLOOKUP(G108,全部!C:W,21,FALSE)</f>
        <v>102827.04</v>
      </c>
      <c r="O108" s="4">
        <f>VLOOKUP(G108,全部!C:X,22,FALSE)</f>
        <v>102827</v>
      </c>
      <c r="P108" s="4">
        <f>VLOOKUP(G108,全部!C:Y,23,FALSE)</f>
        <v>102827</v>
      </c>
      <c r="Q108" s="6">
        <f>VLOOKUP(G108,全部!C:Z,24,FALSE)</f>
        <v>0</v>
      </c>
      <c r="R108" s="7">
        <f>VLOOKUP(G108,全部!C:AA,25,FALSE)</f>
        <v>2742054.4000000004</v>
      </c>
      <c r="S108" s="7">
        <f>VLOOKUP(G108,全部!C:AB,26,FALSE)</f>
        <v>2742054.4</v>
      </c>
      <c r="T108" s="4">
        <f>VLOOKUP(计算!G108,全部!C:AC,27,FALSE)</f>
        <v>2576919.6799999997</v>
      </c>
      <c r="U108" s="4">
        <f>VLOOKUP(G108,全部!C:AD,28,FALSE)</f>
        <v>2576919.6800000002</v>
      </c>
      <c r="V108" s="6">
        <f>VLOOKUP(G108,全部!C:AE,29,FALSE)</f>
        <v>0.75182160645682294</v>
      </c>
      <c r="W108" s="4">
        <f>VLOOKUP(G108,全部!C:AF,30,FALSE)</f>
        <v>2316496.25</v>
      </c>
      <c r="X108" s="4">
        <f>VLOOKUP(G108,全部!C:AG,31,FALSE)</f>
        <v>2316496.25</v>
      </c>
      <c r="Y108" s="4">
        <f>VLOOKUP(计算!G108,全部!C:AH,32,FALSE)</f>
        <v>2572434.8600000003</v>
      </c>
      <c r="Z108" s="4">
        <f>VLOOKUP(G108,全部!C:AL,36,FALSE)</f>
        <v>2572434.86</v>
      </c>
      <c r="AA108" s="4">
        <f>VLOOKUP(G108,全部!C:AM,37,FALSE)</f>
        <v>3.7400000000000003E-2</v>
      </c>
      <c r="AB108" s="6">
        <f>VLOOKUP(G108,全部!C:AN,38,FALSE)</f>
        <v>102552.83456</v>
      </c>
      <c r="AC108" s="4">
        <f>VLOOKUP(G108,全部!C:AO,39,FALSE)</f>
        <v>102552.83</v>
      </c>
      <c r="AD108" s="4">
        <f>VLOOKUP(G108,全部!C:AP,40,FALSE)</f>
        <v>102552.83</v>
      </c>
      <c r="AE108" s="6">
        <f>VLOOKUP(G108,全部!C:AQ,41,FALSE)</f>
        <v>4.5600000012200326E-3</v>
      </c>
      <c r="AF108" s="4">
        <f>VLOOKUP(G108,全部!C:AR,42,FALSE)</f>
        <v>0</v>
      </c>
      <c r="AG108" s="7">
        <f>VLOOKUP(G108,全部!C:AS,43,FALSE)</f>
        <v>42</v>
      </c>
      <c r="AH108" s="64" t="str">
        <f>IF(VLOOKUP(G108,全部!C:AT,44,FALSE)=0,"",VLOOKUP(G108,全部!C:AT,44,FALSE))</f>
        <v>管庄</v>
      </c>
      <c r="AI108">
        <v>0</v>
      </c>
      <c r="AJ108" s="3">
        <v>41912.686273148101</v>
      </c>
      <c r="AK108" s="2" t="s">
        <v>2005</v>
      </c>
    </row>
    <row r="109" spans="1:37" x14ac:dyDescent="0.15">
      <c r="A109" s="2" t="s">
        <v>2004</v>
      </c>
      <c r="B109">
        <v>135</v>
      </c>
      <c r="C109" s="3">
        <v>41487</v>
      </c>
      <c r="D109" s="2" t="s">
        <v>37</v>
      </c>
      <c r="E109" s="2" t="s">
        <v>2003</v>
      </c>
      <c r="F109" s="2" t="s">
        <v>41</v>
      </c>
      <c r="G109" s="2" t="s">
        <v>255</v>
      </c>
      <c r="H109" s="2" t="s">
        <v>256</v>
      </c>
      <c r="I109" s="4">
        <f>VLOOKUP(G109,全部!C:M,11,FALSE)</f>
        <v>6455953.0800000001</v>
      </c>
      <c r="J109" s="4">
        <f t="shared" si="1"/>
        <v>0</v>
      </c>
      <c r="K109" s="4">
        <f>VLOOKUP(计算!G109,全部!C:N,12,FALSE)</f>
        <v>0</v>
      </c>
      <c r="L109" s="5">
        <f>VLOOKUP(G109,全部!C:P,14,FALSE)</f>
        <v>0</v>
      </c>
      <c r="M109" s="5">
        <f>VLOOKUP(G109,全部!C:V,20,FALSE)*100</f>
        <v>4</v>
      </c>
      <c r="N109" s="6">
        <f>VLOOKUP(G109,全部!C:W,21,FALSE)</f>
        <v>258238.1232</v>
      </c>
      <c r="O109" s="4">
        <f>VLOOKUP(G109,全部!C:X,22,FALSE)</f>
        <v>258238.12</v>
      </c>
      <c r="P109" s="4">
        <f>VLOOKUP(G109,全部!C:Y,23,FALSE)</f>
        <v>258238.12</v>
      </c>
      <c r="Q109" s="6">
        <f>VLOOKUP(G109,全部!C:Z,24,FALSE)</f>
        <v>3.2000000064726919E-3</v>
      </c>
      <c r="R109" s="7">
        <f>VLOOKUP(G109,全部!C:AA,25,FALSE)</f>
        <v>0</v>
      </c>
      <c r="S109" s="7">
        <f>VLOOKUP(G109,全部!C:AB,26,FALSE)</f>
        <v>0</v>
      </c>
      <c r="T109" s="4">
        <f>VLOOKUP(计算!G109,全部!C:AC,27,FALSE)</f>
        <v>6131964.8099999996</v>
      </c>
      <c r="U109" s="4">
        <f>VLOOKUP(G109,全部!C:AD,28,FALSE)</f>
        <v>6131964.8099999996</v>
      </c>
      <c r="V109" s="6">
        <f>VLOOKUP(G109,全部!C:AE,29,FALSE)</f>
        <v>0.94981557858533872</v>
      </c>
      <c r="W109" s="4">
        <f>VLOOKUP(G109,全部!C:AF,30,FALSE)</f>
        <v>0</v>
      </c>
      <c r="X109" s="4">
        <f>VLOOKUP(G109,全部!C:AG,31,FALSE)</f>
        <v>0</v>
      </c>
      <c r="Y109" s="4">
        <f>VLOOKUP(计算!G109,全部!C:AH,32,FALSE)</f>
        <v>5413506.1699999999</v>
      </c>
      <c r="Z109" s="4">
        <f>VLOOKUP(G109,全部!C:AL,36,FALSE)</f>
        <v>5413506.1699999999</v>
      </c>
      <c r="AA109" s="4">
        <f>VLOOKUP(G109,全部!C:AM,37,FALSE)</f>
        <v>3.4000000000000002E-2</v>
      </c>
      <c r="AB109" s="6">
        <f>VLOOKUP(G109,全部!C:AN,38,FALSE)</f>
        <v>219502.40472000002</v>
      </c>
      <c r="AC109" s="4">
        <f>VLOOKUP(G109,全部!C:AO,39,FALSE)</f>
        <v>208486.96</v>
      </c>
      <c r="AD109" s="4">
        <f>VLOOKUP(G109,全部!C:AP,40,FALSE)</f>
        <v>208486.96</v>
      </c>
      <c r="AE109" s="6">
        <f>VLOOKUP(G109,全部!C:AQ,41,FALSE)</f>
        <v>11015.444720000029</v>
      </c>
      <c r="AF109" s="4">
        <f>VLOOKUP(G109,全部!C:AR,42,FALSE)</f>
        <v>0</v>
      </c>
      <c r="AG109" s="7">
        <f>VLOOKUP(G109,全部!C:AS,43,FALSE)</f>
        <v>0</v>
      </c>
      <c r="AH109" s="64" t="str">
        <f>IF(VLOOKUP(G109,全部!C:AT,44,FALSE)=0,"",VLOOKUP(G109,全部!C:AT,44,FALSE))</f>
        <v/>
      </c>
      <c r="AI109">
        <v>0</v>
      </c>
      <c r="AJ109" s="3">
        <v>41912.6862384259</v>
      </c>
      <c r="AK109" s="2" t="s">
        <v>2002</v>
      </c>
    </row>
    <row r="110" spans="1:37" x14ac:dyDescent="0.15">
      <c r="A110" s="2" t="s">
        <v>2001</v>
      </c>
      <c r="B110">
        <v>888</v>
      </c>
      <c r="C110" s="3">
        <v>41494</v>
      </c>
      <c r="D110" s="2" t="s">
        <v>37</v>
      </c>
      <c r="E110" s="2" t="s">
        <v>2000</v>
      </c>
      <c r="F110" s="2" t="s">
        <v>38</v>
      </c>
      <c r="G110" s="2" t="s">
        <v>259</v>
      </c>
      <c r="H110" s="2" t="s">
        <v>260</v>
      </c>
      <c r="I110" s="4">
        <f>VLOOKUP(G110,全部!C:M,11,FALSE)</f>
        <v>8061172</v>
      </c>
      <c r="J110" s="4">
        <f t="shared" si="1"/>
        <v>0</v>
      </c>
      <c r="K110" s="4">
        <f>VLOOKUP(计算!G110,全部!C:N,12,FALSE)</f>
        <v>0</v>
      </c>
      <c r="L110" s="5">
        <f>VLOOKUP(G110,全部!C:P,14,FALSE)</f>
        <v>0</v>
      </c>
      <c r="M110" s="5">
        <f>VLOOKUP(G110,全部!C:V,20,FALSE)*100</f>
        <v>3</v>
      </c>
      <c r="N110" s="6">
        <f>VLOOKUP(G110,全部!C:W,21,FALSE)</f>
        <v>241835.16</v>
      </c>
      <c r="O110" s="4">
        <f>VLOOKUP(G110,全部!C:X,22,FALSE)</f>
        <v>240000</v>
      </c>
      <c r="P110" s="4">
        <f>VLOOKUP(G110,全部!C:Y,23,FALSE)</f>
        <v>240000</v>
      </c>
      <c r="Q110" s="6">
        <f>VLOOKUP(G110,全部!C:Z,24,FALSE)</f>
        <v>1835.1600000000035</v>
      </c>
      <c r="R110" s="7">
        <f>VLOOKUP(G110,全部!C:AA,25,FALSE)</f>
        <v>1600000</v>
      </c>
      <c r="S110" s="7">
        <f>VLOOKUP(G110,全部!C:AB,26,FALSE)</f>
        <v>1600000</v>
      </c>
      <c r="T110" s="4">
        <f>VLOOKUP(计算!G110,全部!C:AC,27,FALSE)</f>
        <v>1040000</v>
      </c>
      <c r="U110" s="4">
        <f>VLOOKUP(G110,全部!C:AD,28,FALSE)</f>
        <v>1040000</v>
      </c>
      <c r="V110" s="6">
        <f>VLOOKUP(G110,全部!C:AE,29,FALSE)</f>
        <v>0.12901349828536099</v>
      </c>
      <c r="W110" s="4">
        <f>VLOOKUP(G110,全部!C:AF,30,FALSE)</f>
        <v>1002259</v>
      </c>
      <c r="X110" s="4">
        <f>VLOOKUP(G110,全部!C:AG,31,FALSE)</f>
        <v>1002259</v>
      </c>
      <c r="Y110" s="4">
        <f>VLOOKUP(计算!G110,全部!C:AH,32,FALSE)</f>
        <v>1039549</v>
      </c>
      <c r="Z110" s="4">
        <f>VLOOKUP(G110,全部!C:AL,36,FALSE)</f>
        <v>1039549</v>
      </c>
      <c r="AA110" s="4">
        <f>VLOOKUP(G110,全部!C:AM,37,FALSE)</f>
        <v>3.7400000000000003E-2</v>
      </c>
      <c r="AB110" s="6">
        <f>VLOOKUP(G110,全部!C:AN,38,FALSE)</f>
        <v>59840.000000000007</v>
      </c>
      <c r="AC110" s="4">
        <f>VLOOKUP(G110,全部!C:AO,39,FALSE)</f>
        <v>59840</v>
      </c>
      <c r="AD110" s="4">
        <f>VLOOKUP(G110,全部!C:AP,40,FALSE)</f>
        <v>59840</v>
      </c>
      <c r="AE110" s="6">
        <f>VLOOKUP(G110,全部!C:AQ,41,FALSE)</f>
        <v>0</v>
      </c>
      <c r="AF110" s="4">
        <f>VLOOKUP(G110,全部!C:AR,42,FALSE)</f>
        <v>0</v>
      </c>
      <c r="AG110" s="7">
        <f>VLOOKUP(G110,全部!C:AS,43,FALSE)</f>
        <v>105</v>
      </c>
      <c r="AH110" s="64" t="str">
        <f>IF(VLOOKUP(G110,全部!C:AT,44,FALSE)=0,"",VLOOKUP(G110,全部!C:AT,44,FALSE))</f>
        <v>管庄</v>
      </c>
      <c r="AI110">
        <v>0</v>
      </c>
      <c r="AJ110" s="3">
        <v>41912.686273148101</v>
      </c>
      <c r="AK110" s="2" t="s">
        <v>1999</v>
      </c>
    </row>
    <row r="111" spans="1:37" x14ac:dyDescent="0.15">
      <c r="A111" s="2" t="s">
        <v>1998</v>
      </c>
      <c r="B111">
        <v>904</v>
      </c>
      <c r="C111" s="3">
        <v>41496</v>
      </c>
      <c r="D111" s="2" t="s">
        <v>37</v>
      </c>
      <c r="E111" s="2" t="s">
        <v>1997</v>
      </c>
      <c r="F111" s="2" t="s">
        <v>38</v>
      </c>
      <c r="G111" s="2" t="s">
        <v>261</v>
      </c>
      <c r="H111" s="2" t="s">
        <v>262</v>
      </c>
      <c r="I111" s="4">
        <f>VLOOKUP(G111,全部!C:M,11,FALSE)</f>
        <v>2823828.2</v>
      </c>
      <c r="J111" s="4">
        <f t="shared" si="1"/>
        <v>0</v>
      </c>
      <c r="K111" s="4">
        <f>VLOOKUP(计算!G111,全部!C:N,12,FALSE)</f>
        <v>0</v>
      </c>
      <c r="L111" s="5">
        <f>VLOOKUP(G111,全部!C:P,14,FALSE)</f>
        <v>0</v>
      </c>
      <c r="M111" s="5">
        <f>VLOOKUP(G111,全部!C:V,20,FALSE)*100</f>
        <v>3</v>
      </c>
      <c r="N111" s="6">
        <f>VLOOKUP(G111,全部!C:W,21,FALSE)</f>
        <v>84714.846000000005</v>
      </c>
      <c r="O111" s="4">
        <f>VLOOKUP(G111,全部!C:X,22,FALSE)</f>
        <v>84715</v>
      </c>
      <c r="P111" s="4">
        <f>VLOOKUP(G111,全部!C:Y,23,FALSE)</f>
        <v>84715</v>
      </c>
      <c r="Q111" s="6">
        <f>VLOOKUP(G111,全部!C:Z,24,FALSE)</f>
        <v>0</v>
      </c>
      <c r="R111" s="7">
        <f>VLOOKUP(G111,全部!C:AA,25,FALSE)</f>
        <v>2034096.63</v>
      </c>
      <c r="S111" s="7">
        <f>VLOOKUP(G111,全部!C:AB,26,FALSE)</f>
        <v>2034096.63</v>
      </c>
      <c r="T111" s="4">
        <f>VLOOKUP(计算!G111,全部!C:AC,27,FALSE)</f>
        <v>2034096.63</v>
      </c>
      <c r="U111" s="4">
        <f>VLOOKUP(G111,全部!C:AD,28,FALSE)</f>
        <v>2034096.63</v>
      </c>
      <c r="V111" s="6">
        <f>VLOOKUP(G111,全部!C:AE,29,FALSE)</f>
        <v>0.72033299688699182</v>
      </c>
      <c r="W111" s="4">
        <f>VLOOKUP(G111,全部!C:AF,30,FALSE)</f>
        <v>1735922.1099999999</v>
      </c>
      <c r="X111" s="4">
        <f>VLOOKUP(G111,全部!C:AG,31,FALSE)</f>
        <v>1735922.11</v>
      </c>
      <c r="Y111" s="4">
        <f>VLOOKUP(计算!G111,全部!C:AH,32,FALSE)</f>
        <v>1805082.1099999999</v>
      </c>
      <c r="Z111" s="4">
        <f>VLOOKUP(G111,全部!C:AL,36,FALSE)</f>
        <v>1805082.11</v>
      </c>
      <c r="AA111" s="4">
        <f>VLOOKUP(G111,全部!C:AM,37,FALSE)</f>
        <v>3.4000000000000002E-2</v>
      </c>
      <c r="AB111" s="6">
        <f>VLOOKUP(G111,全部!C:AN,38,FALSE)</f>
        <v>69159.28542</v>
      </c>
      <c r="AC111" s="4">
        <f>VLOOKUP(G111,全部!C:AO,39,FALSE)</f>
        <v>69160</v>
      </c>
      <c r="AD111" s="4">
        <f>VLOOKUP(G111,全部!C:AP,40,FALSE)</f>
        <v>69160</v>
      </c>
      <c r="AE111" s="6">
        <f>VLOOKUP(G111,全部!C:AQ,41,FALSE)</f>
        <v>0</v>
      </c>
      <c r="AF111" s="4">
        <f>VLOOKUP(G111,全部!C:AR,42,FALSE)</f>
        <v>0</v>
      </c>
      <c r="AG111" s="7">
        <f>VLOOKUP(G111,全部!C:AS,43,FALSE)</f>
        <v>6</v>
      </c>
      <c r="AH111" s="64" t="str">
        <f>IF(VLOOKUP(G111,全部!C:AT,44,FALSE)=0,"",VLOOKUP(G111,全部!C:AT,44,FALSE))</f>
        <v>管庄</v>
      </c>
      <c r="AI111">
        <v>0</v>
      </c>
      <c r="AJ111" s="3">
        <v>41912.686273148101</v>
      </c>
      <c r="AK111" s="2" t="s">
        <v>1996</v>
      </c>
    </row>
    <row r="112" spans="1:37" x14ac:dyDescent="0.15">
      <c r="A112" s="2" t="s">
        <v>1995</v>
      </c>
      <c r="B112">
        <v>911</v>
      </c>
      <c r="C112" s="3">
        <v>41506</v>
      </c>
      <c r="D112" s="2" t="s">
        <v>37</v>
      </c>
      <c r="E112" s="2" t="s">
        <v>1994</v>
      </c>
      <c r="F112" s="2" t="s">
        <v>38</v>
      </c>
      <c r="G112" s="2" t="s">
        <v>263</v>
      </c>
      <c r="H112" s="2" t="s">
        <v>264</v>
      </c>
      <c r="I112" s="4">
        <f>VLOOKUP(G112,全部!C:M,11,FALSE)</f>
        <v>17411600</v>
      </c>
      <c r="J112" s="4">
        <f t="shared" si="1"/>
        <v>14846</v>
      </c>
      <c r="K112" s="4">
        <f>VLOOKUP(计算!G112,全部!C:N,12,FALSE)</f>
        <v>14846</v>
      </c>
      <c r="L112" s="5">
        <f>VLOOKUP(G112,全部!C:P,14,FALSE)</f>
        <v>0</v>
      </c>
      <c r="M112" s="5">
        <f>VLOOKUP(G112,全部!C:V,20,FALSE)*100</f>
        <v>3</v>
      </c>
      <c r="N112" s="6">
        <f>VLOOKUP(G112,全部!C:W,21,FALSE)</f>
        <v>522793.38</v>
      </c>
      <c r="O112" s="4">
        <f>VLOOKUP(G112,全部!C:X,22,FALSE)</f>
        <v>522348</v>
      </c>
      <c r="P112" s="4">
        <f>VLOOKUP(G112,全部!C:Y,23,FALSE)</f>
        <v>522348</v>
      </c>
      <c r="Q112" s="6">
        <f>VLOOKUP(G112,全部!C:Z,24,FALSE)</f>
        <v>445.38000000000466</v>
      </c>
      <c r="R112" s="7">
        <f>VLOOKUP(G112,全部!C:AA,25,FALSE)</f>
        <v>17426446</v>
      </c>
      <c r="S112" s="7">
        <f>VLOOKUP(G112,全部!C:AB,26,FALSE)</f>
        <v>17426446</v>
      </c>
      <c r="T112" s="4">
        <f>VLOOKUP(计算!G112,全部!C:AC,27,FALSE)</f>
        <v>11880000</v>
      </c>
      <c r="U112" s="4">
        <f>VLOOKUP(G112,全部!C:AD,28,FALSE)</f>
        <v>11880000</v>
      </c>
      <c r="V112" s="6">
        <f>VLOOKUP(G112,全部!C:AE,29,FALSE)</f>
        <v>0.68172248087762699</v>
      </c>
      <c r="W112" s="4">
        <f>VLOOKUP(G112,全部!C:AF,30,FALSE)</f>
        <v>11232076.699999999</v>
      </c>
      <c r="X112" s="4">
        <f>VLOOKUP(G112,全部!C:AG,31,FALSE)</f>
        <v>11232076.699999999</v>
      </c>
      <c r="Y112" s="4">
        <f>VLOOKUP(计算!G112,全部!C:AH,32,FALSE)</f>
        <v>11735031.74</v>
      </c>
      <c r="Z112" s="4">
        <f>VLOOKUP(G112,全部!C:AL,36,FALSE)</f>
        <v>11735031.74</v>
      </c>
      <c r="AA112" s="4">
        <f>VLOOKUP(G112,全部!C:AM,37,FALSE)</f>
        <v>0</v>
      </c>
      <c r="AB112" s="6">
        <f>VLOOKUP(G112,全部!C:AN,38,FALSE)</f>
        <v>0</v>
      </c>
      <c r="AC112" s="4">
        <f>VLOOKUP(G112,全部!C:AO,39,FALSE)</f>
        <v>0</v>
      </c>
      <c r="AD112" s="4">
        <f>VLOOKUP(G112,全部!C:AP,40,FALSE)</f>
        <v>0</v>
      </c>
      <c r="AE112" s="6">
        <f>VLOOKUP(G112,全部!C:AQ,41,FALSE)</f>
        <v>0</v>
      </c>
      <c r="AF112" s="4">
        <f>VLOOKUP(G112,全部!C:AR,42,FALSE)</f>
        <v>0</v>
      </c>
      <c r="AG112" s="7">
        <f>VLOOKUP(G112,全部!C:AS,43,FALSE)</f>
        <v>0</v>
      </c>
      <c r="AH112" s="64" t="str">
        <f>IF(VLOOKUP(G112,全部!C:AT,44,FALSE)=0,"",VLOOKUP(G112,全部!C:AT,44,FALSE))</f>
        <v/>
      </c>
      <c r="AI112">
        <v>0</v>
      </c>
      <c r="AJ112" s="3">
        <v>41912.686273148101</v>
      </c>
      <c r="AK112" s="2" t="s">
        <v>1993</v>
      </c>
    </row>
    <row r="113" spans="1:37" x14ac:dyDescent="0.15">
      <c r="A113" s="2" t="s">
        <v>1992</v>
      </c>
      <c r="B113">
        <v>918</v>
      </c>
      <c r="C113" s="3">
        <v>41511</v>
      </c>
      <c r="D113" s="2" t="s">
        <v>37</v>
      </c>
      <c r="E113" s="2" t="s">
        <v>1991</v>
      </c>
      <c r="F113" s="2" t="s">
        <v>38</v>
      </c>
      <c r="G113" s="2" t="s">
        <v>265</v>
      </c>
      <c r="H113" s="2" t="s">
        <v>266</v>
      </c>
      <c r="I113" s="4">
        <f>VLOOKUP(G113,全部!C:M,11,FALSE)</f>
        <v>407310.98</v>
      </c>
      <c r="J113" s="4">
        <f t="shared" si="1"/>
        <v>0</v>
      </c>
      <c r="K113" s="4">
        <f>VLOOKUP(计算!G113,全部!C:N,12,FALSE)</f>
        <v>0</v>
      </c>
      <c r="L113" s="5">
        <f>VLOOKUP(G113,全部!C:P,14,FALSE)</f>
        <v>0</v>
      </c>
      <c r="M113" s="5">
        <f>VLOOKUP(G113,全部!C:V,20,FALSE)*100</f>
        <v>3.5999999999999996</v>
      </c>
      <c r="N113" s="6">
        <f>VLOOKUP(G113,全部!C:W,21,FALSE)</f>
        <v>14663.195279999998</v>
      </c>
      <c r="O113" s="4">
        <f>VLOOKUP(G113,全部!C:X,22,FALSE)</f>
        <v>14663</v>
      </c>
      <c r="P113" s="4">
        <f>VLOOKUP(G113,全部!C:Y,23,FALSE)</f>
        <v>14663</v>
      </c>
      <c r="Q113" s="6">
        <f>VLOOKUP(G113,全部!C:Z,24,FALSE)</f>
        <v>0</v>
      </c>
      <c r="R113" s="7">
        <f>VLOOKUP(G113,全部!C:AA,25,FALSE)</f>
        <v>407310.98</v>
      </c>
      <c r="S113" s="7">
        <f>VLOOKUP(G113,全部!C:AB,26,FALSE)</f>
        <v>407310.98</v>
      </c>
      <c r="T113" s="4">
        <f>VLOOKUP(计算!G113,全部!C:AC,27,FALSE)</f>
        <v>350000</v>
      </c>
      <c r="U113" s="4">
        <f>VLOOKUP(G113,全部!C:AD,28,FALSE)</f>
        <v>350000</v>
      </c>
      <c r="V113" s="6">
        <f>VLOOKUP(G113,全部!C:AE,29,FALSE)</f>
        <v>0.85929429155089321</v>
      </c>
      <c r="W113" s="4">
        <f>VLOOKUP(G113,全部!C:AF,30,FALSE)</f>
        <v>300000</v>
      </c>
      <c r="X113" s="4">
        <f>VLOOKUP(G113,全部!C:AG,31,FALSE)</f>
        <v>300000</v>
      </c>
      <c r="Y113" s="4">
        <f>VLOOKUP(计算!G113,全部!C:AH,32,FALSE)</f>
        <v>313849</v>
      </c>
      <c r="Z113" s="4">
        <f>VLOOKUP(G113,全部!C:AL,36,FALSE)</f>
        <v>313849</v>
      </c>
      <c r="AA113" s="4">
        <f>VLOOKUP(G113,全部!C:AM,37,FALSE)</f>
        <v>3.4000000000000002E-2</v>
      </c>
      <c r="AB113" s="6">
        <f>VLOOKUP(G113,全部!C:AN,38,FALSE)</f>
        <v>13848.57332</v>
      </c>
      <c r="AC113" s="4">
        <f>VLOOKUP(G113,全部!C:AO,39,FALSE)</f>
        <v>13849</v>
      </c>
      <c r="AD113" s="4">
        <f>VLOOKUP(G113,全部!C:AP,40,FALSE)</f>
        <v>13849</v>
      </c>
      <c r="AE113" s="6">
        <f>VLOOKUP(G113,全部!C:AQ,41,FALSE)</f>
        <v>0</v>
      </c>
      <c r="AF113" s="4">
        <f>VLOOKUP(G113,全部!C:AR,42,FALSE)</f>
        <v>0</v>
      </c>
      <c r="AG113" s="7">
        <f>VLOOKUP(G113,全部!C:AS,43,FALSE)</f>
        <v>0</v>
      </c>
      <c r="AH113" s="64" t="str">
        <f>IF(VLOOKUP(G113,全部!C:AT,44,FALSE)=0,"",VLOOKUP(G113,全部!C:AT,44,FALSE))</f>
        <v/>
      </c>
      <c r="AI113">
        <v>0</v>
      </c>
      <c r="AJ113" s="3">
        <v>41912.686273148101</v>
      </c>
      <c r="AK113" s="2" t="s">
        <v>1990</v>
      </c>
    </row>
    <row r="114" spans="1:37" x14ac:dyDescent="0.15">
      <c r="A114" s="2" t="s">
        <v>1989</v>
      </c>
      <c r="B114">
        <v>140</v>
      </c>
      <c r="C114" s="3">
        <v>41518</v>
      </c>
      <c r="D114" s="2" t="s">
        <v>37</v>
      </c>
      <c r="E114" s="2" t="s">
        <v>1988</v>
      </c>
      <c r="F114" s="2" t="s">
        <v>41</v>
      </c>
      <c r="G114" s="2" t="s">
        <v>267</v>
      </c>
      <c r="H114" s="2" t="s">
        <v>268</v>
      </c>
      <c r="I114" s="4">
        <f>VLOOKUP(G114,全部!C:M,11,FALSE)</f>
        <v>1860000</v>
      </c>
      <c r="J114" s="4">
        <f t="shared" si="1"/>
        <v>0</v>
      </c>
      <c r="K114" s="4">
        <f>VLOOKUP(计算!G114,全部!C:N,12,FALSE)</f>
        <v>0</v>
      </c>
      <c r="L114" s="5">
        <f>VLOOKUP(G114,全部!C:P,14,FALSE)</f>
        <v>0</v>
      </c>
      <c r="M114" s="5">
        <f>VLOOKUP(G114,全部!C:V,20,FALSE)*100</f>
        <v>4</v>
      </c>
      <c r="N114" s="6">
        <f>VLOOKUP(G114,全部!C:W,21,FALSE)</f>
        <v>74400</v>
      </c>
      <c r="O114" s="4">
        <f>VLOOKUP(G114,全部!C:X,22,FALSE)</f>
        <v>74400</v>
      </c>
      <c r="P114" s="4">
        <f>VLOOKUP(G114,全部!C:Y,23,FALSE)</f>
        <v>74400</v>
      </c>
      <c r="Q114" s="6">
        <f>VLOOKUP(G114,全部!C:Z,24,FALSE)</f>
        <v>0</v>
      </c>
      <c r="R114" s="7">
        <f>VLOOKUP(G114,全部!C:AA,25,FALSE)</f>
        <v>0</v>
      </c>
      <c r="S114" s="7">
        <f>VLOOKUP(G114,全部!C:AB,26,FALSE)</f>
        <v>0</v>
      </c>
      <c r="T114" s="4">
        <f>VLOOKUP(计算!G114,全部!C:AC,27,FALSE)</f>
        <v>1250000</v>
      </c>
      <c r="U114" s="4">
        <f>VLOOKUP(G114,全部!C:AD,28,FALSE)</f>
        <v>1250000</v>
      </c>
      <c r="V114" s="6">
        <f>VLOOKUP(G114,全部!C:AE,29,FALSE)</f>
        <v>0.67204301075268813</v>
      </c>
      <c r="W114" s="4">
        <f>VLOOKUP(G114,全部!C:AF,30,FALSE)</f>
        <v>0</v>
      </c>
      <c r="X114" s="4">
        <f>VLOOKUP(G114,全部!C:AG,31,FALSE)</f>
        <v>0</v>
      </c>
      <c r="Y114" s="4">
        <f>VLOOKUP(计算!G114,全部!C:AH,32,FALSE)</f>
        <v>1088668.1499999999</v>
      </c>
      <c r="Z114" s="4">
        <f>VLOOKUP(G114,全部!C:AL,36,FALSE)</f>
        <v>1088668.1499999999</v>
      </c>
      <c r="AA114" s="4">
        <f>VLOOKUP(G114,全部!C:AM,37,FALSE)</f>
        <v>3.4000000000000002E-2</v>
      </c>
      <c r="AB114" s="6">
        <f>VLOOKUP(G114,全部!C:AN,38,FALSE)</f>
        <v>63240.000000000007</v>
      </c>
      <c r="AC114" s="4">
        <f>VLOOKUP(G114,全部!C:AO,39,FALSE)</f>
        <v>42500</v>
      </c>
      <c r="AD114" s="4">
        <f>VLOOKUP(G114,全部!C:AP,40,FALSE)</f>
        <v>42500</v>
      </c>
      <c r="AE114" s="6">
        <f>VLOOKUP(G114,全部!C:AQ,41,FALSE)</f>
        <v>20740.000000000007</v>
      </c>
      <c r="AF114" s="4">
        <f>VLOOKUP(G114,全部!C:AR,42,FALSE)</f>
        <v>0</v>
      </c>
      <c r="AG114" s="7">
        <f>VLOOKUP(G114,全部!C:AS,43,FALSE)</f>
        <v>0</v>
      </c>
      <c r="AH114" s="64" t="str">
        <f>IF(VLOOKUP(G114,全部!C:AT,44,FALSE)=0,"",VLOOKUP(G114,全部!C:AT,44,FALSE))</f>
        <v/>
      </c>
      <c r="AI114">
        <v>0</v>
      </c>
      <c r="AJ114" s="3">
        <v>41912.6862384259</v>
      </c>
      <c r="AK114" s="2" t="s">
        <v>1987</v>
      </c>
    </row>
    <row r="115" spans="1:37" x14ac:dyDescent="0.15">
      <c r="A115" s="2" t="s">
        <v>1986</v>
      </c>
      <c r="B115">
        <v>927</v>
      </c>
      <c r="C115" s="3">
        <v>41519</v>
      </c>
      <c r="D115" s="2" t="s">
        <v>37</v>
      </c>
      <c r="E115" s="2" t="s">
        <v>1985</v>
      </c>
      <c r="F115" s="2" t="s">
        <v>38</v>
      </c>
      <c r="G115" s="2" t="s">
        <v>269</v>
      </c>
      <c r="H115" s="2" t="s">
        <v>270</v>
      </c>
      <c r="I115" s="4">
        <f>VLOOKUP(G115,全部!C:M,11,FALSE)</f>
        <v>8700000</v>
      </c>
      <c r="J115" s="4">
        <f t="shared" si="1"/>
        <v>7411961</v>
      </c>
      <c r="K115" s="4">
        <f>VLOOKUP(计算!G115,全部!C:N,12,FALSE)</f>
        <v>7411961</v>
      </c>
      <c r="L115" s="5">
        <f>VLOOKUP(G115,全部!C:P,14,FALSE)</f>
        <v>0</v>
      </c>
      <c r="M115" s="5">
        <f>VLOOKUP(G115,全部!C:V,20,FALSE)*100</f>
        <v>3</v>
      </c>
      <c r="N115" s="6">
        <f>VLOOKUP(G115,全部!C:W,21,FALSE)</f>
        <v>483358.82999999996</v>
      </c>
      <c r="O115" s="4">
        <f>VLOOKUP(G115,全部!C:X,22,FALSE)</f>
        <v>476853</v>
      </c>
      <c r="P115" s="4">
        <f>VLOOKUP(G115,全部!C:Y,23,FALSE)</f>
        <v>476853</v>
      </c>
      <c r="Q115" s="6">
        <f>VLOOKUP(G115,全部!C:Z,24,FALSE)</f>
        <v>6505.8299999999581</v>
      </c>
      <c r="R115" s="7">
        <f>VLOOKUP(G115,全部!C:AA,25,FALSE)</f>
        <v>10308167.640000001</v>
      </c>
      <c r="S115" s="7">
        <f>VLOOKUP(G115,全部!C:AB,26,FALSE)</f>
        <v>10308167.640000001</v>
      </c>
      <c r="T115" s="4">
        <f>VLOOKUP(计算!G115,全部!C:AC,27,FALSE)</f>
        <v>9343700.0500000007</v>
      </c>
      <c r="U115" s="4">
        <f>VLOOKUP(G115,全部!C:AD,28,FALSE)</f>
        <v>9343700.0500000007</v>
      </c>
      <c r="V115" s="6">
        <f>VLOOKUP(G115,全部!C:AE,29,FALSE)</f>
        <v>0.57992320425800437</v>
      </c>
      <c r="W115" s="4">
        <f>VLOOKUP(G115,全部!C:AF,30,FALSE)</f>
        <v>7420626.7899999982</v>
      </c>
      <c r="X115" s="4">
        <f>VLOOKUP(G115,全部!C:AG,31,FALSE)</f>
        <v>7420626.79</v>
      </c>
      <c r="Y115" s="4">
        <f>VLOOKUP(计算!G115,全部!C:AH,32,FALSE)</f>
        <v>8252263.7899999982</v>
      </c>
      <c r="Z115" s="4">
        <f>VLOOKUP(G115,全部!C:AL,36,FALSE)</f>
        <v>8252263.79</v>
      </c>
      <c r="AA115" s="4">
        <f>VLOOKUP(G115,全部!C:AM,37,FALSE)</f>
        <v>3.4000000000000002E-2</v>
      </c>
      <c r="AB115" s="6">
        <f>VLOOKUP(G115,全部!C:AN,38,FALSE)</f>
        <v>350477.69976000005</v>
      </c>
      <c r="AC115" s="4">
        <f>VLOOKUP(G115,全部!C:AO,39,FALSE)</f>
        <v>350477</v>
      </c>
      <c r="AD115" s="4">
        <f>VLOOKUP(G115,全部!C:AP,40,FALSE)</f>
        <v>350477</v>
      </c>
      <c r="AE115" s="6">
        <f>VLOOKUP(G115,全部!C:AQ,41,FALSE)</f>
        <v>0</v>
      </c>
      <c r="AF115" s="4">
        <f>VLOOKUP(G115,全部!C:AR,42,FALSE)</f>
        <v>0</v>
      </c>
      <c r="AG115" s="7">
        <f>VLOOKUP(G115,全部!C:AS,43,FALSE)</f>
        <v>90</v>
      </c>
      <c r="AH115" s="64" t="str">
        <f>IF(VLOOKUP(G115,全部!C:AT,44,FALSE)=0,"",VLOOKUP(G115,全部!C:AT,44,FALSE))</f>
        <v>管庄</v>
      </c>
      <c r="AI115">
        <v>0</v>
      </c>
      <c r="AJ115" s="3">
        <v>41912.686273148101</v>
      </c>
      <c r="AK115" s="2" t="s">
        <v>1984</v>
      </c>
    </row>
    <row r="116" spans="1:37" x14ac:dyDescent="0.15">
      <c r="A116" s="2" t="s">
        <v>1983</v>
      </c>
      <c r="B116">
        <v>934</v>
      </c>
      <c r="C116" s="3">
        <v>41522</v>
      </c>
      <c r="D116" s="2" t="s">
        <v>37</v>
      </c>
      <c r="E116" s="2" t="s">
        <v>1982</v>
      </c>
      <c r="F116" s="2" t="s">
        <v>38</v>
      </c>
      <c r="G116" s="2" t="s">
        <v>271</v>
      </c>
      <c r="H116" s="2" t="s">
        <v>272</v>
      </c>
      <c r="I116" s="4">
        <f>VLOOKUP(G116,全部!C:M,11,FALSE)</f>
        <v>360000</v>
      </c>
      <c r="J116" s="4">
        <f t="shared" si="1"/>
        <v>0</v>
      </c>
      <c r="K116" s="4">
        <f>VLOOKUP(计算!G116,全部!C:N,12,FALSE)</f>
        <v>0</v>
      </c>
      <c r="L116" s="5">
        <f>VLOOKUP(G116,全部!C:P,14,FALSE)</f>
        <v>0</v>
      </c>
      <c r="M116" s="5">
        <f>VLOOKUP(G116,全部!C:V,20,FALSE)*100</f>
        <v>3.5999999999999996</v>
      </c>
      <c r="N116" s="6">
        <f>VLOOKUP(G116,全部!C:W,21,FALSE)</f>
        <v>12959.999999999998</v>
      </c>
      <c r="O116" s="4">
        <f>VLOOKUP(G116,全部!C:X,22,FALSE)</f>
        <v>12960</v>
      </c>
      <c r="P116" s="4">
        <f>VLOOKUP(G116,全部!C:Y,23,FALSE)</f>
        <v>12960</v>
      </c>
      <c r="Q116" s="6">
        <f>VLOOKUP(G116,全部!C:Z,24,FALSE)</f>
        <v>0</v>
      </c>
      <c r="R116" s="7">
        <f>VLOOKUP(G116,全部!C:AA,25,FALSE)</f>
        <v>251827</v>
      </c>
      <c r="S116" s="7">
        <f>VLOOKUP(G116,全部!C:AB,26,FALSE)</f>
        <v>251827</v>
      </c>
      <c r="T116" s="4">
        <f>VLOOKUP(计算!G116,全部!C:AC,27,FALSE)</f>
        <v>250827</v>
      </c>
      <c r="U116" s="4">
        <f>VLOOKUP(G116,全部!C:AD,28,FALSE)</f>
        <v>250827</v>
      </c>
      <c r="V116" s="6">
        <f>VLOOKUP(G116,全部!C:AE,29,FALSE)</f>
        <v>0.6967416666666667</v>
      </c>
      <c r="W116" s="4">
        <f>VLOOKUP(G116,全部!C:AF,30,FALSE)</f>
        <v>239535.1</v>
      </c>
      <c r="X116" s="4">
        <f>VLOOKUP(G116,全部!C:AG,31,FALSE)</f>
        <v>239535.1</v>
      </c>
      <c r="Y116" s="4">
        <f>VLOOKUP(计算!G116,全部!C:AH,32,FALSE)</f>
        <v>248097.1</v>
      </c>
      <c r="Z116" s="4">
        <f>VLOOKUP(G116,全部!C:AL,36,FALSE)</f>
        <v>248097.1</v>
      </c>
      <c r="AA116" s="4">
        <f>VLOOKUP(G116,全部!C:AM,37,FALSE)</f>
        <v>3.4000000000000002E-2</v>
      </c>
      <c r="AB116" s="6">
        <f>VLOOKUP(G116,全部!C:AN,38,FALSE)</f>
        <v>8562.1180000000004</v>
      </c>
      <c r="AC116" s="4">
        <f>VLOOKUP(G116,全部!C:AO,39,FALSE)</f>
        <v>8562</v>
      </c>
      <c r="AD116" s="4">
        <f>VLOOKUP(G116,全部!C:AP,40,FALSE)</f>
        <v>8562</v>
      </c>
      <c r="AE116" s="6">
        <f>VLOOKUP(G116,全部!C:AQ,41,FALSE)</f>
        <v>0</v>
      </c>
      <c r="AF116" s="4">
        <f>VLOOKUP(G116,全部!C:AR,42,FALSE)</f>
        <v>0</v>
      </c>
      <c r="AG116" s="7">
        <f>VLOOKUP(G116,全部!C:AS,43,FALSE)</f>
        <v>0</v>
      </c>
      <c r="AH116" s="64" t="str">
        <f>IF(VLOOKUP(G116,全部!C:AT,44,FALSE)=0,"",VLOOKUP(G116,全部!C:AT,44,FALSE))</f>
        <v/>
      </c>
      <c r="AI116">
        <v>0</v>
      </c>
      <c r="AJ116" s="3">
        <v>41912.686273148101</v>
      </c>
      <c r="AK116" s="2" t="s">
        <v>1981</v>
      </c>
    </row>
    <row r="117" spans="1:37" x14ac:dyDescent="0.15">
      <c r="A117" s="2" t="s">
        <v>1980</v>
      </c>
      <c r="B117">
        <v>946</v>
      </c>
      <c r="C117" s="3">
        <v>41532</v>
      </c>
      <c r="D117" s="2" t="s">
        <v>37</v>
      </c>
      <c r="E117" s="2" t="s">
        <v>1979</v>
      </c>
      <c r="F117" s="2" t="s">
        <v>38</v>
      </c>
      <c r="G117" s="2" t="s">
        <v>273</v>
      </c>
      <c r="H117" s="2" t="s">
        <v>274</v>
      </c>
      <c r="I117" s="4">
        <f>VLOOKUP(G117,全部!C:M,11,FALSE)</f>
        <v>26077738.800000001</v>
      </c>
      <c r="J117" s="4">
        <f t="shared" si="1"/>
        <v>0</v>
      </c>
      <c r="K117" s="4">
        <f>VLOOKUP(计算!G117,全部!C:N,12,FALSE)</f>
        <v>0</v>
      </c>
      <c r="L117" s="5">
        <f>VLOOKUP(G117,全部!C:P,14,FALSE)</f>
        <v>0</v>
      </c>
      <c r="M117" s="5">
        <f>VLOOKUP(G117,全部!C:V,20,FALSE)*100</f>
        <v>3</v>
      </c>
      <c r="N117" s="6">
        <f>VLOOKUP(G117,全部!C:W,21,FALSE)</f>
        <v>782332.16399999999</v>
      </c>
      <c r="O117" s="4">
        <f>VLOOKUP(G117,全部!C:X,22,FALSE)</f>
        <v>6047</v>
      </c>
      <c r="P117" s="4">
        <f>VLOOKUP(G117,全部!C:Y,23,FALSE)</f>
        <v>6047</v>
      </c>
      <c r="Q117" s="6">
        <f>VLOOKUP(G117,全部!C:Z,24,FALSE)</f>
        <v>776285.16399999999</v>
      </c>
      <c r="R117" s="7">
        <f>VLOOKUP(G117,全部!C:AA,25,FALSE)</f>
        <v>0</v>
      </c>
      <c r="S117" s="7">
        <f>VLOOKUP(G117,全部!C:AB,26,FALSE)</f>
        <v>0</v>
      </c>
      <c r="T117" s="4">
        <f>VLOOKUP(计算!G117,全部!C:AC,27,FALSE)</f>
        <v>0</v>
      </c>
      <c r="U117" s="4">
        <f>VLOOKUP(G117,全部!C:AD,28,FALSE)</f>
        <v>0</v>
      </c>
      <c r="V117" s="6">
        <f>VLOOKUP(G117,全部!C:AE,29,FALSE)</f>
        <v>0</v>
      </c>
      <c r="W117" s="4">
        <f>VLOOKUP(G117,全部!C:AF,30,FALSE)</f>
        <v>0</v>
      </c>
      <c r="X117" s="4">
        <f>VLOOKUP(G117,全部!C:AG,31,FALSE)</f>
        <v>0</v>
      </c>
      <c r="Y117" s="4">
        <f>VLOOKUP(计算!G117,全部!C:AH,32,FALSE)</f>
        <v>0</v>
      </c>
      <c r="Z117" s="4">
        <f>VLOOKUP(G117,全部!C:AL,36,FALSE)</f>
        <v>0</v>
      </c>
      <c r="AA117" s="4">
        <f>VLOOKUP(G117,全部!C:AM,37,FALSE)</f>
        <v>3.56E-2</v>
      </c>
      <c r="AB117" s="6">
        <f>VLOOKUP(G117,全部!C:AN,38,FALSE)</f>
        <v>0</v>
      </c>
      <c r="AC117" s="4">
        <f>VLOOKUP(G117,全部!C:AO,39,FALSE)</f>
        <v>0</v>
      </c>
      <c r="AD117" s="4">
        <f>VLOOKUP(G117,全部!C:AP,40,FALSE)</f>
        <v>0</v>
      </c>
      <c r="AE117" s="6">
        <f>VLOOKUP(G117,全部!C:AQ,41,FALSE)</f>
        <v>0</v>
      </c>
      <c r="AF117" s="4">
        <f>VLOOKUP(G117,全部!C:AR,42,FALSE)</f>
        <v>0</v>
      </c>
      <c r="AG117" s="7">
        <f>VLOOKUP(G117,全部!C:AS,43,FALSE)</f>
        <v>180</v>
      </c>
      <c r="AH117" s="64" t="str">
        <f>IF(VLOOKUP(G117,全部!C:AT,44,FALSE)=0,"",VLOOKUP(G117,全部!C:AT,44,FALSE))</f>
        <v>管庄</v>
      </c>
      <c r="AI117">
        <v>0</v>
      </c>
      <c r="AJ117" s="3">
        <v>41912.686273148101</v>
      </c>
      <c r="AK117" s="2" t="s">
        <v>1978</v>
      </c>
    </row>
    <row r="118" spans="1:37" x14ac:dyDescent="0.15">
      <c r="A118" s="2" t="s">
        <v>1977</v>
      </c>
      <c r="B118">
        <v>953</v>
      </c>
      <c r="C118" s="3">
        <v>41535</v>
      </c>
      <c r="D118" s="2" t="s">
        <v>37</v>
      </c>
      <c r="E118" s="2" t="s">
        <v>1976</v>
      </c>
      <c r="F118" s="2" t="s">
        <v>38</v>
      </c>
      <c r="G118" s="2" t="s">
        <v>275</v>
      </c>
      <c r="H118" s="2" t="s">
        <v>276</v>
      </c>
      <c r="I118" s="4">
        <f>VLOOKUP(G118,全部!C:M,11,FALSE)</f>
        <v>937580</v>
      </c>
      <c r="J118" s="4">
        <f t="shared" si="1"/>
        <v>0</v>
      </c>
      <c r="K118" s="4">
        <f>VLOOKUP(计算!G118,全部!C:N,12,FALSE)</f>
        <v>0</v>
      </c>
      <c r="L118" s="5">
        <f>VLOOKUP(G118,全部!C:P,14,FALSE)</f>
        <v>0</v>
      </c>
      <c r="M118" s="5">
        <f>VLOOKUP(G118,全部!C:V,20,FALSE)*100</f>
        <v>3.5999999999999996</v>
      </c>
      <c r="N118" s="6">
        <f>VLOOKUP(G118,全部!C:W,21,FALSE)</f>
        <v>33752.879999999997</v>
      </c>
      <c r="O118" s="4">
        <f>VLOOKUP(G118,全部!C:X,22,FALSE)</f>
        <v>33753</v>
      </c>
      <c r="P118" s="4">
        <f>VLOOKUP(G118,全部!C:Y,23,FALSE)</f>
        <v>33753</v>
      </c>
      <c r="Q118" s="6">
        <f>VLOOKUP(G118,全部!C:Z,24,FALSE)</f>
        <v>0</v>
      </c>
      <c r="R118" s="7">
        <f>VLOOKUP(G118,全部!C:AA,25,FALSE)</f>
        <v>589567.19999999995</v>
      </c>
      <c r="S118" s="7">
        <f>VLOOKUP(G118,全部!C:AB,26,FALSE)</f>
        <v>589567.19999999995</v>
      </c>
      <c r="T118" s="4">
        <f>VLOOKUP(计算!G118,全部!C:AC,27,FALSE)</f>
        <v>589567.19999999995</v>
      </c>
      <c r="U118" s="4">
        <f>VLOOKUP(G118,全部!C:AD,28,FALSE)</f>
        <v>589567.19999999995</v>
      </c>
      <c r="V118" s="6">
        <f>VLOOKUP(G118,全部!C:AE,29,FALSE)</f>
        <v>0.62881802086221972</v>
      </c>
      <c r="W118" s="4">
        <f>VLOOKUP(G118,全部!C:AF,30,FALSE)</f>
        <v>562960</v>
      </c>
      <c r="X118" s="4">
        <f>VLOOKUP(G118,全部!C:AG,31,FALSE)</f>
        <v>562960</v>
      </c>
      <c r="Y118" s="4">
        <f>VLOOKUP(计算!G118,全部!C:AH,32,FALSE)</f>
        <v>583005</v>
      </c>
      <c r="Z118" s="4">
        <f>VLOOKUP(G118,全部!C:AL,36,FALSE)</f>
        <v>583005</v>
      </c>
      <c r="AA118" s="4">
        <f>VLOOKUP(G118,全部!C:AM,37,FALSE)</f>
        <v>3.4000000000000002E-2</v>
      </c>
      <c r="AB118" s="6">
        <f>VLOOKUP(G118,全部!C:AN,38,FALSE)</f>
        <v>20045.284800000001</v>
      </c>
      <c r="AC118" s="4">
        <f>VLOOKUP(G118,全部!C:AO,39,FALSE)</f>
        <v>20045</v>
      </c>
      <c r="AD118" s="4">
        <f>VLOOKUP(G118,全部!C:AP,40,FALSE)</f>
        <v>20045</v>
      </c>
      <c r="AE118" s="6">
        <f>VLOOKUP(G118,全部!C:AQ,41,FALSE)</f>
        <v>0</v>
      </c>
      <c r="AF118" s="4">
        <f>VLOOKUP(G118,全部!C:AR,42,FALSE)</f>
        <v>0</v>
      </c>
      <c r="AG118" s="7">
        <f>VLOOKUP(G118,全部!C:AS,43,FALSE)</f>
        <v>0</v>
      </c>
      <c r="AH118" s="64" t="str">
        <f>IF(VLOOKUP(G118,全部!C:AT,44,FALSE)=0,"",VLOOKUP(G118,全部!C:AT,44,FALSE))</f>
        <v/>
      </c>
      <c r="AI118">
        <v>0</v>
      </c>
      <c r="AJ118" s="3">
        <v>41912.686273148101</v>
      </c>
      <c r="AK118" s="2" t="s">
        <v>1975</v>
      </c>
    </row>
    <row r="119" spans="1:37" x14ac:dyDescent="0.15">
      <c r="A119" s="2" t="s">
        <v>1974</v>
      </c>
      <c r="B119">
        <v>146</v>
      </c>
      <c r="C119" s="3">
        <v>41548</v>
      </c>
      <c r="D119" s="2" t="s">
        <v>37</v>
      </c>
      <c r="E119" s="2" t="s">
        <v>1973</v>
      </c>
      <c r="F119" s="2" t="s">
        <v>41</v>
      </c>
      <c r="G119" s="2" t="s">
        <v>277</v>
      </c>
      <c r="H119" s="2" t="s">
        <v>278</v>
      </c>
      <c r="I119" s="4">
        <f>VLOOKUP(G119,全部!C:M,11,FALSE)</f>
        <v>4095378.25</v>
      </c>
      <c r="J119" s="4">
        <f t="shared" si="1"/>
        <v>0</v>
      </c>
      <c r="K119" s="4">
        <f>VLOOKUP(计算!G119,全部!C:N,12,FALSE)</f>
        <v>0</v>
      </c>
      <c r="L119" s="5">
        <f>VLOOKUP(G119,全部!C:P,14,FALSE)</f>
        <v>0</v>
      </c>
      <c r="M119" s="5">
        <f>VLOOKUP(G119,全部!C:V,20,FALSE)*100</f>
        <v>4</v>
      </c>
      <c r="N119" s="6">
        <f>VLOOKUP(G119,全部!C:W,21,FALSE)</f>
        <v>163815.13</v>
      </c>
      <c r="O119" s="4">
        <f>VLOOKUP(G119,全部!C:X,22,FALSE)</f>
        <v>82026.100000000006</v>
      </c>
      <c r="P119" s="4">
        <f>VLOOKUP(G119,全部!C:Y,23,FALSE)</f>
        <v>82026.100000000006</v>
      </c>
      <c r="Q119" s="6">
        <f>VLOOKUP(G119,全部!C:Z,24,FALSE)</f>
        <v>81789.03</v>
      </c>
      <c r="R119" s="7">
        <f>VLOOKUP(G119,全部!C:AA,25,FALSE)</f>
        <v>0</v>
      </c>
      <c r="S119" s="7">
        <f>VLOOKUP(G119,全部!C:AB,26,FALSE)</f>
        <v>0</v>
      </c>
      <c r="T119" s="4">
        <f>VLOOKUP(计算!G119,全部!C:AC,27,FALSE)</f>
        <v>2950877.69</v>
      </c>
      <c r="U119" s="4">
        <f>VLOOKUP(G119,全部!C:AD,28,FALSE)</f>
        <v>2950877.69</v>
      </c>
      <c r="V119" s="6">
        <f>VLOOKUP(G119,全部!C:AE,29,FALSE)</f>
        <v>0.7205384972682316</v>
      </c>
      <c r="W119" s="4">
        <f>VLOOKUP(G119,全部!C:AF,30,FALSE)</f>
        <v>0</v>
      </c>
      <c r="X119" s="4">
        <f>VLOOKUP(G119,全部!C:AG,31,FALSE)</f>
        <v>0</v>
      </c>
      <c r="Y119" s="4">
        <f>VLOOKUP(计算!G119,全部!C:AH,32,FALSE)</f>
        <v>2211953.5</v>
      </c>
      <c r="Z119" s="4">
        <f>VLOOKUP(G119,全部!C:AL,36,FALSE)</f>
        <v>2211953.5</v>
      </c>
      <c r="AA119" s="4">
        <f>VLOOKUP(G119,全部!C:AM,37,FALSE)</f>
        <v>0</v>
      </c>
      <c r="AB119" s="6">
        <f>VLOOKUP(G119,全部!C:AN,38,FALSE)</f>
        <v>148512</v>
      </c>
      <c r="AC119" s="4">
        <f>VLOOKUP(G119,全部!C:AO,39,FALSE)</f>
        <v>78290.92</v>
      </c>
      <c r="AD119" s="4">
        <f>VLOOKUP(G119,全部!C:AP,40,FALSE)</f>
        <v>78290.92</v>
      </c>
      <c r="AE119" s="6">
        <f>VLOOKUP(G119,全部!C:AQ,41,FALSE)</f>
        <v>70221.08</v>
      </c>
      <c r="AF119" s="4">
        <f>VLOOKUP(G119,全部!C:AR,42,FALSE)</f>
        <v>322921</v>
      </c>
      <c r="AG119" s="7">
        <f>VLOOKUP(G119,全部!C:AS,43,FALSE)</f>
        <v>0</v>
      </c>
      <c r="AH119" s="64" t="str">
        <f>IF(VLOOKUP(G119,全部!C:AT,44,FALSE)=0,"",VLOOKUP(G119,全部!C:AT,44,FALSE))</f>
        <v/>
      </c>
      <c r="AI119">
        <v>0</v>
      </c>
      <c r="AJ119" s="3">
        <v>41912.6862384259</v>
      </c>
      <c r="AK119" s="2" t="s">
        <v>1972</v>
      </c>
    </row>
    <row r="120" spans="1:37" x14ac:dyDescent="0.15">
      <c r="A120" s="2" t="s">
        <v>1971</v>
      </c>
      <c r="B120">
        <v>987</v>
      </c>
      <c r="C120" s="3">
        <v>41552</v>
      </c>
      <c r="D120" s="2" t="s">
        <v>37</v>
      </c>
      <c r="E120" s="2" t="s">
        <v>1970</v>
      </c>
      <c r="F120" s="2" t="s">
        <v>38</v>
      </c>
      <c r="G120" s="2" t="s">
        <v>279</v>
      </c>
      <c r="H120" s="2" t="s">
        <v>280</v>
      </c>
      <c r="I120" s="4">
        <f>VLOOKUP(G120,全部!C:M,11,FALSE)</f>
        <v>14920000</v>
      </c>
      <c r="J120" s="4">
        <f t="shared" si="1"/>
        <v>53188404.710000001</v>
      </c>
      <c r="K120" s="4">
        <f>VLOOKUP(计算!G120,全部!C:N,12,FALSE)</f>
        <v>53188404.710000001</v>
      </c>
      <c r="L120" s="5">
        <f>VLOOKUP(G120,全部!C:P,14,FALSE)</f>
        <v>0</v>
      </c>
      <c r="M120" s="5">
        <f>VLOOKUP(G120,全部!C:V,20,FALSE)*100</f>
        <v>2.5</v>
      </c>
      <c r="N120" s="6">
        <f>VLOOKUP(G120,全部!C:W,21,FALSE)</f>
        <v>1702710.1177500002</v>
      </c>
      <c r="O120" s="4">
        <f>VLOOKUP(G120,全部!C:X,22,FALSE)</f>
        <v>1103347</v>
      </c>
      <c r="P120" s="4">
        <f>VLOOKUP(G120,全部!C:Y,23,FALSE)</f>
        <v>1103347</v>
      </c>
      <c r="Q120" s="6">
        <f>VLOOKUP(G120,全部!C:Z,24,FALSE)</f>
        <v>599363.11775000021</v>
      </c>
      <c r="R120" s="7">
        <f>VLOOKUP(G120,全部!C:AA,25,FALSE)</f>
        <v>15000000</v>
      </c>
      <c r="S120" s="7">
        <f>VLOOKUP(G120,全部!C:AB,26,FALSE)</f>
        <v>15000000</v>
      </c>
      <c r="T120" s="4">
        <f>VLOOKUP(计算!G120,全部!C:AC,27,FALSE)</f>
        <v>14978500</v>
      </c>
      <c r="U120" s="4">
        <f>VLOOKUP(G120,全部!C:AD,28,FALSE)</f>
        <v>14978500</v>
      </c>
      <c r="V120" s="6">
        <f>VLOOKUP(G120,全部!C:AE,29,FALSE)</f>
        <v>0.2199214629057489</v>
      </c>
      <c r="W120" s="4">
        <f>VLOOKUP(G120,全部!C:AF,30,FALSE)</f>
        <v>11787002.560000001</v>
      </c>
      <c r="X120" s="4">
        <f>VLOOKUP(G120,全部!C:AG,31,FALSE)</f>
        <v>11787002.560000001</v>
      </c>
      <c r="Y120" s="4">
        <f>VLOOKUP(计算!G120,全部!C:AH,32,FALSE)</f>
        <v>12097000.560000001</v>
      </c>
      <c r="Z120" s="4">
        <f>VLOOKUP(G120,全部!C:AL,36,FALSE)</f>
        <v>12097000.560000001</v>
      </c>
      <c r="AA120" s="4">
        <f>VLOOKUP(G120,全部!C:AM,37,FALSE)</f>
        <v>3.4000000000000002E-2</v>
      </c>
      <c r="AB120" s="6">
        <f>VLOOKUP(G120,全部!C:AN,38,FALSE)</f>
        <v>510000.00000000006</v>
      </c>
      <c r="AC120" s="4">
        <f>VLOOKUP(G120,全部!C:AO,39,FALSE)</f>
        <v>510000</v>
      </c>
      <c r="AD120" s="4">
        <f>VLOOKUP(G120,全部!C:AP,40,FALSE)</f>
        <v>510000</v>
      </c>
      <c r="AE120" s="6">
        <f>VLOOKUP(G120,全部!C:AQ,41,FALSE)</f>
        <v>0</v>
      </c>
      <c r="AF120" s="4">
        <f>VLOOKUP(G120,全部!C:AR,42,FALSE)</f>
        <v>0</v>
      </c>
      <c r="AG120" s="7">
        <f>VLOOKUP(G120,全部!C:AS,43,FALSE)</f>
        <v>210</v>
      </c>
      <c r="AH120" s="64" t="str">
        <f>IF(VLOOKUP(G120,全部!C:AT,44,FALSE)=0,"",VLOOKUP(G120,全部!C:AT,44,FALSE))</f>
        <v>管庄</v>
      </c>
      <c r="AI120">
        <v>0</v>
      </c>
      <c r="AJ120" s="3">
        <v>41912.686273148101</v>
      </c>
      <c r="AK120" s="2" t="s">
        <v>1969</v>
      </c>
    </row>
    <row r="121" spans="1:37" x14ac:dyDescent="0.15">
      <c r="A121" s="2" t="s">
        <v>1968</v>
      </c>
      <c r="B121">
        <v>961</v>
      </c>
      <c r="C121" s="3">
        <v>41557</v>
      </c>
      <c r="D121" s="2" t="s">
        <v>37</v>
      </c>
      <c r="E121" s="2" t="s">
        <v>1967</v>
      </c>
      <c r="F121" s="2" t="s">
        <v>38</v>
      </c>
      <c r="G121" s="2" t="s">
        <v>281</v>
      </c>
      <c r="H121" s="2" t="s">
        <v>282</v>
      </c>
      <c r="I121" s="4">
        <f>VLOOKUP(G121,全部!C:M,11,FALSE)</f>
        <v>7763574.6600000001</v>
      </c>
      <c r="J121" s="4">
        <f t="shared" si="1"/>
        <v>0</v>
      </c>
      <c r="K121" s="4">
        <f>VLOOKUP(计算!G121,全部!C:N,12,FALSE)</f>
        <v>0</v>
      </c>
      <c r="L121" s="5">
        <f>VLOOKUP(G121,全部!C:P,14,FALSE)</f>
        <v>0</v>
      </c>
      <c r="M121" s="5">
        <f>VLOOKUP(G121,全部!C:V,20,FALSE)*100</f>
        <v>3</v>
      </c>
      <c r="N121" s="6">
        <f>VLOOKUP(G121,全部!C:W,21,FALSE)</f>
        <v>232907.23980000001</v>
      </c>
      <c r="O121" s="4">
        <f>VLOOKUP(G121,全部!C:X,22,FALSE)</f>
        <v>92979</v>
      </c>
      <c r="P121" s="4">
        <f>VLOOKUP(G121,全部!C:Y,23,FALSE)</f>
        <v>92979</v>
      </c>
      <c r="Q121" s="6">
        <f>VLOOKUP(G121,全部!C:Z,24,FALSE)</f>
        <v>139928.23980000001</v>
      </c>
      <c r="R121" s="7">
        <f>VLOOKUP(G121,全部!C:AA,25,FALSE)</f>
        <v>4906233</v>
      </c>
      <c r="S121" s="7">
        <f>VLOOKUP(G121,全部!C:AB,26,FALSE)</f>
        <v>4906233</v>
      </c>
      <c r="T121" s="4">
        <f>VLOOKUP(计算!G121,全部!C:AC,27,FALSE)</f>
        <v>3423677</v>
      </c>
      <c r="U121" s="4">
        <f>VLOOKUP(G121,全部!C:AD,28,FALSE)</f>
        <v>3423677</v>
      </c>
      <c r="V121" s="6">
        <f>VLOOKUP(G121,全部!C:AE,29,FALSE)</f>
        <v>0.44099234565743195</v>
      </c>
      <c r="W121" s="4">
        <f>VLOOKUP(G121,全部!C:AF,30,FALSE)</f>
        <v>3263646.19</v>
      </c>
      <c r="X121" s="4">
        <f>VLOOKUP(G121,全部!C:AG,31,FALSE)</f>
        <v>3263646.19</v>
      </c>
      <c r="Y121" s="4">
        <f>VLOOKUP(计算!G121,全部!C:AH,32,FALSE)</f>
        <v>3414292.42</v>
      </c>
      <c r="Z121" s="4">
        <f>VLOOKUP(G121,全部!C:AL,36,FALSE)</f>
        <v>3414292.42</v>
      </c>
      <c r="AA121" s="4">
        <f>VLOOKUP(G121,全部!C:AM,37,FALSE)</f>
        <v>3.4000000000000002E-2</v>
      </c>
      <c r="AB121" s="6">
        <f>VLOOKUP(G121,全部!C:AN,38,FALSE)</f>
        <v>166811.92200000002</v>
      </c>
      <c r="AC121" s="4">
        <f>VLOOKUP(G121,全部!C:AO,39,FALSE)</f>
        <v>87101</v>
      </c>
      <c r="AD121" s="4">
        <f>VLOOKUP(G121,全部!C:AP,40,FALSE)</f>
        <v>87101</v>
      </c>
      <c r="AE121" s="6">
        <f>VLOOKUP(G121,全部!C:AQ,41,FALSE)</f>
        <v>0</v>
      </c>
      <c r="AF121" s="4">
        <f>VLOOKUP(G121,全部!C:AR,42,FALSE)</f>
        <v>0</v>
      </c>
      <c r="AG121" s="7">
        <f>VLOOKUP(G121,全部!C:AS,43,FALSE)</f>
        <v>100</v>
      </c>
      <c r="AH121" s="64" t="str">
        <f>IF(VLOOKUP(G121,全部!C:AT,44,FALSE)=0,"",VLOOKUP(G121,全部!C:AT,44,FALSE))</f>
        <v>三河</v>
      </c>
      <c r="AI121">
        <v>0</v>
      </c>
      <c r="AJ121" s="3">
        <v>41912.686273148101</v>
      </c>
      <c r="AK121" s="2" t="s">
        <v>1966</v>
      </c>
    </row>
    <row r="122" spans="1:37" x14ac:dyDescent="0.15">
      <c r="A122" s="2" t="s">
        <v>1965</v>
      </c>
      <c r="B122">
        <v>969</v>
      </c>
      <c r="C122" s="3">
        <v>41562</v>
      </c>
      <c r="D122" s="2" t="s">
        <v>37</v>
      </c>
      <c r="E122" s="2" t="s">
        <v>1964</v>
      </c>
      <c r="F122" s="2" t="s">
        <v>38</v>
      </c>
      <c r="G122" s="2" t="s">
        <v>283</v>
      </c>
      <c r="H122" s="2" t="s">
        <v>284</v>
      </c>
      <c r="I122" s="4">
        <f>VLOOKUP(G122,全部!C:M,11,FALSE)</f>
        <v>11700792.689999999</v>
      </c>
      <c r="J122" s="4">
        <f t="shared" si="1"/>
        <v>0</v>
      </c>
      <c r="K122" s="4">
        <f>VLOOKUP(计算!G122,全部!C:N,12,FALSE)</f>
        <v>0</v>
      </c>
      <c r="L122" s="5">
        <f>VLOOKUP(G122,全部!C:P,14,FALSE)</f>
        <v>0</v>
      </c>
      <c r="M122" s="5">
        <f>VLOOKUP(G122,全部!C:V,20,FALSE)*100</f>
        <v>3</v>
      </c>
      <c r="N122" s="6">
        <f>VLOOKUP(G122,全部!C:W,21,FALSE)</f>
        <v>351023.78069999994</v>
      </c>
      <c r="O122" s="4">
        <f>VLOOKUP(G122,全部!C:X,22,FALSE)</f>
        <v>351024</v>
      </c>
      <c r="P122" s="4">
        <f>VLOOKUP(G122,全部!C:Y,23,FALSE)</f>
        <v>351024</v>
      </c>
      <c r="Q122" s="6">
        <f>VLOOKUP(G122,全部!C:Z,24,FALSE)</f>
        <v>0</v>
      </c>
      <c r="R122" s="7">
        <f>VLOOKUP(G122,全部!C:AA,25,FALSE)</f>
        <v>5874521</v>
      </c>
      <c r="S122" s="7">
        <f>VLOOKUP(G122,全部!C:AB,26,FALSE)</f>
        <v>5874521</v>
      </c>
      <c r="T122" s="4">
        <f>VLOOKUP(计算!G122,全部!C:AC,27,FALSE)</f>
        <v>5874521</v>
      </c>
      <c r="U122" s="4">
        <f>VLOOKUP(G122,全部!C:AD,28,FALSE)</f>
        <v>5874521</v>
      </c>
      <c r="V122" s="6">
        <f>VLOOKUP(G122,全部!C:AE,29,FALSE)</f>
        <v>0.50206179663542094</v>
      </c>
      <c r="W122" s="4">
        <f>VLOOKUP(G122,全部!C:AF,30,FALSE)</f>
        <v>5402150.129999999</v>
      </c>
      <c r="X122" s="4">
        <f>VLOOKUP(G122,全部!C:AG,31,FALSE)</f>
        <v>5402150.1299999999</v>
      </c>
      <c r="Y122" s="4">
        <f>VLOOKUP(计算!G122,全部!C:AH,32,FALSE)</f>
        <v>5800083.129999999</v>
      </c>
      <c r="Z122" s="4">
        <f>VLOOKUP(G122,全部!C:AL,36,FALSE)</f>
        <v>5800083.1299999999</v>
      </c>
      <c r="AA122" s="4">
        <f>VLOOKUP(G122,全部!C:AM,37,FALSE)</f>
        <v>3.4000000000000002E-2</v>
      </c>
      <c r="AB122" s="6">
        <f>VLOOKUP(G122,全部!C:AN,38,FALSE)</f>
        <v>199733.71400000001</v>
      </c>
      <c r="AC122" s="4">
        <f>VLOOKUP(G122,全部!C:AO,39,FALSE)</f>
        <v>199733</v>
      </c>
      <c r="AD122" s="4">
        <f>VLOOKUP(G122,全部!C:AP,40,FALSE)</f>
        <v>199733</v>
      </c>
      <c r="AE122" s="6">
        <f>VLOOKUP(G122,全部!C:AQ,41,FALSE)</f>
        <v>0</v>
      </c>
      <c r="AF122" s="4">
        <f>VLOOKUP(G122,全部!C:AR,42,FALSE)</f>
        <v>0</v>
      </c>
      <c r="AG122" s="7">
        <f>VLOOKUP(G122,全部!C:AS,43,FALSE)</f>
        <v>85</v>
      </c>
      <c r="AH122" s="64" t="str">
        <f>IF(VLOOKUP(G122,全部!C:AT,44,FALSE)=0,"",VLOOKUP(G122,全部!C:AT,44,FALSE))</f>
        <v>管庄</v>
      </c>
      <c r="AI122">
        <v>0</v>
      </c>
      <c r="AJ122" s="3">
        <v>41912.686273148101</v>
      </c>
      <c r="AK122" s="2" t="s">
        <v>1963</v>
      </c>
    </row>
    <row r="123" spans="1:37" x14ac:dyDescent="0.15">
      <c r="A123" s="2" t="s">
        <v>1962</v>
      </c>
      <c r="B123">
        <v>994</v>
      </c>
      <c r="C123" s="3">
        <v>41562</v>
      </c>
      <c r="D123" s="2" t="s">
        <v>37</v>
      </c>
      <c r="E123" s="2" t="s">
        <v>1961</v>
      </c>
      <c r="F123" s="2" t="s">
        <v>38</v>
      </c>
      <c r="G123" s="2" t="s">
        <v>285</v>
      </c>
      <c r="H123" s="2" t="s">
        <v>286</v>
      </c>
      <c r="I123" s="4">
        <f>VLOOKUP(G123,全部!C:M,11,FALSE)</f>
        <v>126591039.39</v>
      </c>
      <c r="J123" s="4">
        <f t="shared" si="1"/>
        <v>0</v>
      </c>
      <c r="K123" s="4">
        <f>VLOOKUP(计算!G123,全部!C:N,12,FALSE)</f>
        <v>0</v>
      </c>
      <c r="L123" s="5">
        <f>VLOOKUP(G123,全部!C:P,14,FALSE)</f>
        <v>0</v>
      </c>
      <c r="M123" s="5">
        <f>VLOOKUP(G123,全部!C:V,20,FALSE)*100</f>
        <v>2</v>
      </c>
      <c r="N123" s="6">
        <f>VLOOKUP(G123,全部!C:W,21,FALSE)</f>
        <v>2531820.7878</v>
      </c>
      <c r="O123" s="4">
        <f>VLOOKUP(G123,全部!C:X,22,FALSE)</f>
        <v>2317283.8600000003</v>
      </c>
      <c r="P123" s="4">
        <f>VLOOKUP(G123,全部!C:Y,23,FALSE)</f>
        <v>2317283.86</v>
      </c>
      <c r="Q123" s="6">
        <f>VLOOKUP(G123,全部!C:Z,24,FALSE)</f>
        <v>214536.92780000018</v>
      </c>
      <c r="R123" s="7">
        <f>VLOOKUP(G123,全部!C:AA,25,FALSE)</f>
        <v>43167474.460000001</v>
      </c>
      <c r="S123" s="7">
        <f>VLOOKUP(G123,全部!C:AB,26,FALSE)</f>
        <v>43167474.460000001</v>
      </c>
      <c r="T123" s="4">
        <f>VLOOKUP(计算!G123,全部!C:AC,27,FALSE)</f>
        <v>43167473.980000004</v>
      </c>
      <c r="U123" s="4">
        <f>VLOOKUP(G123,全部!C:AD,28,FALSE)</f>
        <v>43167473.979999997</v>
      </c>
      <c r="V123" s="6">
        <f>VLOOKUP(G123,全部!C:AE,29,FALSE)</f>
        <v>0.34099944346779726</v>
      </c>
      <c r="W123" s="4">
        <f>VLOOKUP(G123,全部!C:AF,30,FALSE)</f>
        <v>36009565.639999986</v>
      </c>
      <c r="X123" s="4">
        <f>VLOOKUP(G123,全部!C:AG,31,FALSE)</f>
        <v>36009565.640000001</v>
      </c>
      <c r="Y123" s="4">
        <f>VLOOKUP(计算!G123,全部!C:AH,32,FALSE)</f>
        <v>40907590.870000005</v>
      </c>
      <c r="Z123" s="4">
        <f>VLOOKUP(G123,全部!C:AL,36,FALSE)</f>
        <v>40907590.870000005</v>
      </c>
      <c r="AA123" s="4">
        <f>VLOOKUP(G123,全部!C:AM,37,FALSE)</f>
        <v>3.3599999999999998E-2</v>
      </c>
      <c r="AB123" s="6">
        <f>VLOOKUP(G123,全部!C:AN,38,FALSE)</f>
        <v>1450427.1418559998</v>
      </c>
      <c r="AC123" s="4">
        <f>VLOOKUP(G123,全部!C:AO,39,FALSE)</f>
        <v>0</v>
      </c>
      <c r="AD123" s="4">
        <f>VLOOKUP(G123,全部!C:AP,40,FALSE)</f>
        <v>0</v>
      </c>
      <c r="AE123" s="6">
        <f>VLOOKUP(G123,全部!C:AQ,41,FALSE)</f>
        <v>0</v>
      </c>
      <c r="AF123" s="4">
        <f>VLOOKUP(G123,全部!C:AR,42,FALSE)</f>
        <v>0</v>
      </c>
      <c r="AG123" s="7">
        <f>VLOOKUP(G123,全部!C:AS,43,FALSE)</f>
        <v>530</v>
      </c>
      <c r="AH123" s="64" t="str">
        <f>IF(VLOOKUP(G123,全部!C:AT,44,FALSE)=0,"",VLOOKUP(G123,全部!C:AT,44,FALSE))</f>
        <v>管庄</v>
      </c>
      <c r="AI123">
        <v>0</v>
      </c>
      <c r="AJ123" s="3">
        <v>41912.686273148101</v>
      </c>
      <c r="AK123" s="2" t="s">
        <v>1960</v>
      </c>
    </row>
    <row r="124" spans="1:37" x14ac:dyDescent="0.15">
      <c r="A124" s="2" t="s">
        <v>1959</v>
      </c>
      <c r="B124">
        <v>1001</v>
      </c>
      <c r="C124" s="3">
        <v>41565</v>
      </c>
      <c r="D124" s="2" t="s">
        <v>37</v>
      </c>
      <c r="E124" s="2" t="s">
        <v>1958</v>
      </c>
      <c r="F124" s="2" t="s">
        <v>38</v>
      </c>
      <c r="G124" s="2" t="s">
        <v>287</v>
      </c>
      <c r="H124" s="2" t="s">
        <v>288</v>
      </c>
      <c r="I124" s="4">
        <f>VLOOKUP(G124,全部!C:M,11,FALSE)</f>
        <v>5992383</v>
      </c>
      <c r="J124" s="4">
        <f t="shared" si="1"/>
        <v>0</v>
      </c>
      <c r="K124" s="4">
        <f>VLOOKUP(计算!G124,全部!C:N,12,FALSE)</f>
        <v>0</v>
      </c>
      <c r="L124" s="5">
        <f>VLOOKUP(G124,全部!C:P,14,FALSE)</f>
        <v>0</v>
      </c>
      <c r="M124" s="5">
        <f>VLOOKUP(G124,全部!C:V,20,FALSE)*100</f>
        <v>3</v>
      </c>
      <c r="N124" s="6">
        <f>VLOOKUP(G124,全部!C:W,21,FALSE)</f>
        <v>179771.49</v>
      </c>
      <c r="O124" s="4">
        <f>VLOOKUP(G124,全部!C:X,22,FALSE)</f>
        <v>129771</v>
      </c>
      <c r="P124" s="4">
        <f>VLOOKUP(G124,全部!C:Y,23,FALSE)</f>
        <v>129771</v>
      </c>
      <c r="Q124" s="6">
        <f>VLOOKUP(G124,全部!C:Z,24,FALSE)</f>
        <v>50000.489999999991</v>
      </c>
      <c r="R124" s="7">
        <f>VLOOKUP(G124,全部!C:AA,25,FALSE)</f>
        <v>4194668</v>
      </c>
      <c r="S124" s="7">
        <f>VLOOKUP(G124,全部!C:AB,26,FALSE)</f>
        <v>4194668</v>
      </c>
      <c r="T124" s="4">
        <f>VLOOKUP(计算!G124,全部!C:AC,27,FALSE)</f>
        <v>4194668</v>
      </c>
      <c r="U124" s="4">
        <f>VLOOKUP(G124,全部!C:AD,28,FALSE)</f>
        <v>4194668</v>
      </c>
      <c r="V124" s="6">
        <f>VLOOKUP(G124,全部!C:AE,29,FALSE)</f>
        <v>0.69999998331214808</v>
      </c>
      <c r="W124" s="4">
        <f>VLOOKUP(G124,全部!C:AF,30,FALSE)</f>
        <v>3543290</v>
      </c>
      <c r="X124" s="4">
        <f>VLOOKUP(G124,全部!C:AG,31,FALSE)</f>
        <v>3543290</v>
      </c>
      <c r="Y124" s="4">
        <f>VLOOKUP(计算!G124,全部!C:AH,32,FALSE)</f>
        <v>3845489.24</v>
      </c>
      <c r="Z124" s="4">
        <f>VLOOKUP(G124,全部!C:AL,36,FALSE)</f>
        <v>3845489.24</v>
      </c>
      <c r="AA124" s="4">
        <f>VLOOKUP(G124,全部!C:AM,37,FALSE)</f>
        <v>3.7400000000000003E-2</v>
      </c>
      <c r="AB124" s="6">
        <f>VLOOKUP(G124,全部!C:AN,38,FALSE)</f>
        <v>156880.58320000002</v>
      </c>
      <c r="AC124" s="4">
        <f>VLOOKUP(G124,全部!C:AO,39,FALSE)</f>
        <v>0</v>
      </c>
      <c r="AD124" s="4">
        <f>VLOOKUP(G124,全部!C:AP,40,FALSE)</f>
        <v>0</v>
      </c>
      <c r="AE124" s="6">
        <f>VLOOKUP(G124,全部!C:AQ,41,FALSE)</f>
        <v>0</v>
      </c>
      <c r="AF124" s="4">
        <f>VLOOKUP(G124,全部!C:AR,42,FALSE)</f>
        <v>0</v>
      </c>
      <c r="AG124" s="7">
        <f>VLOOKUP(G124,全部!C:AS,43,FALSE)</f>
        <v>66</v>
      </c>
      <c r="AH124" s="64" t="str">
        <f>IF(VLOOKUP(G124,全部!C:AT,44,FALSE)=0,"",VLOOKUP(G124,全部!C:AT,44,FALSE))</f>
        <v>管庄</v>
      </c>
      <c r="AI124">
        <v>0</v>
      </c>
      <c r="AJ124" s="3">
        <v>41912.686273148101</v>
      </c>
      <c r="AK124" s="2" t="s">
        <v>1957</v>
      </c>
    </row>
    <row r="125" spans="1:37" x14ac:dyDescent="0.15">
      <c r="A125" s="2" t="s">
        <v>1956</v>
      </c>
      <c r="B125">
        <v>978</v>
      </c>
      <c r="C125" s="3">
        <v>41566</v>
      </c>
      <c r="D125" s="2" t="s">
        <v>37</v>
      </c>
      <c r="E125" s="2" t="s">
        <v>1955</v>
      </c>
      <c r="F125" s="2" t="s">
        <v>38</v>
      </c>
      <c r="G125" s="2" t="s">
        <v>289</v>
      </c>
      <c r="H125" s="2" t="s">
        <v>290</v>
      </c>
      <c r="I125" s="4">
        <f>VLOOKUP(G125,全部!C:M,11,FALSE)</f>
        <v>3443591.39</v>
      </c>
      <c r="J125" s="4">
        <f t="shared" si="1"/>
        <v>0</v>
      </c>
      <c r="K125" s="4">
        <f>VLOOKUP(计算!G125,全部!C:N,12,FALSE)</f>
        <v>0</v>
      </c>
      <c r="L125" s="5">
        <f>VLOOKUP(G125,全部!C:P,14,FALSE)</f>
        <v>0</v>
      </c>
      <c r="M125" s="5">
        <f>VLOOKUP(G125,全部!C:V,20,FALSE)*100</f>
        <v>3.5999999999999996</v>
      </c>
      <c r="N125" s="6">
        <f>VLOOKUP(G125,全部!C:W,21,FALSE)</f>
        <v>123969.29003999999</v>
      </c>
      <c r="O125" s="4">
        <f>VLOOKUP(G125,全部!C:X,22,FALSE)</f>
        <v>123969</v>
      </c>
      <c r="P125" s="4">
        <f>VLOOKUP(G125,全部!C:Y,23,FALSE)</f>
        <v>123969</v>
      </c>
      <c r="Q125" s="6">
        <f>VLOOKUP(G125,全部!C:Z,24,FALSE)</f>
        <v>0</v>
      </c>
      <c r="R125" s="7">
        <f>VLOOKUP(G125,全部!C:AA,25,FALSE)</f>
        <v>2421795.42</v>
      </c>
      <c r="S125" s="7">
        <f>VLOOKUP(G125,全部!C:AB,26,FALSE)</f>
        <v>2421795.42</v>
      </c>
      <c r="T125" s="4">
        <f>VLOOKUP(计算!G125,全部!C:AC,27,FALSE)</f>
        <v>2421795.42</v>
      </c>
      <c r="U125" s="4">
        <f>VLOOKUP(G125,全部!C:AD,28,FALSE)</f>
        <v>2421795.42</v>
      </c>
      <c r="V125" s="6">
        <f>VLOOKUP(G125,全部!C:AE,29,FALSE)</f>
        <v>0.70327607016115812</v>
      </c>
      <c r="W125" s="4">
        <f>VLOOKUP(G125,全部!C:AF,30,FALSE)</f>
        <v>2312874.58</v>
      </c>
      <c r="X125" s="4">
        <f>VLOOKUP(G125,全部!C:AG,31,FALSE)</f>
        <v>2312874.58</v>
      </c>
      <c r="Y125" s="4">
        <f>VLOOKUP(计算!G125,全部!C:AH,32,FALSE)</f>
        <v>2359931.3899999997</v>
      </c>
      <c r="Z125" s="4">
        <f>VLOOKUP(G125,全部!C:AL,36,FALSE)</f>
        <v>2370544.39</v>
      </c>
      <c r="AA125" s="4">
        <f>VLOOKUP(G125,全部!C:AM,37,FALSE)</f>
        <v>3.4000000000000002E-2</v>
      </c>
      <c r="AB125" s="6">
        <f>VLOOKUP(G125,全部!C:AN,38,FALSE)</f>
        <v>82341.044280000002</v>
      </c>
      <c r="AC125" s="4">
        <f>VLOOKUP(G125,全部!C:AO,39,FALSE)</f>
        <v>82341</v>
      </c>
      <c r="AD125" s="4">
        <f>VLOOKUP(G125,全部!C:AP,40,FALSE)</f>
        <v>82341</v>
      </c>
      <c r="AE125" s="6">
        <f>VLOOKUP(G125,全部!C:AQ,41,FALSE)</f>
        <v>0</v>
      </c>
      <c r="AF125" s="4">
        <f>VLOOKUP(G125,全部!C:AR,42,FALSE)</f>
        <v>0</v>
      </c>
      <c r="AG125" s="7">
        <f>VLOOKUP(G125,全部!C:AS,43,FALSE)</f>
        <v>52</v>
      </c>
      <c r="AH125" s="64" t="str">
        <f>IF(VLOOKUP(G125,全部!C:AT,44,FALSE)=0,"",VLOOKUP(G125,全部!C:AT,44,FALSE))</f>
        <v>三河</v>
      </c>
      <c r="AI125">
        <v>0</v>
      </c>
      <c r="AJ125" s="3">
        <v>41912.686273148101</v>
      </c>
      <c r="AK125" s="2" t="s">
        <v>1954</v>
      </c>
    </row>
    <row r="126" spans="1:37" x14ac:dyDescent="0.15">
      <c r="A126" s="2" t="s">
        <v>1953</v>
      </c>
      <c r="B126">
        <v>1009</v>
      </c>
      <c r="C126" s="3">
        <v>41579</v>
      </c>
      <c r="D126" s="2" t="s">
        <v>37</v>
      </c>
      <c r="E126" s="2" t="s">
        <v>1952</v>
      </c>
      <c r="F126" s="2" t="s">
        <v>38</v>
      </c>
      <c r="G126" s="2" t="s">
        <v>293</v>
      </c>
      <c r="H126" s="2" t="s">
        <v>294</v>
      </c>
      <c r="I126" s="4">
        <f>VLOOKUP(G126,全部!C:M,11,FALSE)</f>
        <v>3117195.98</v>
      </c>
      <c r="J126" s="4">
        <f t="shared" si="1"/>
        <v>0</v>
      </c>
      <c r="K126" s="4">
        <f>VLOOKUP(计算!G126,全部!C:N,12,FALSE)</f>
        <v>0</v>
      </c>
      <c r="L126" s="5">
        <f>VLOOKUP(G126,全部!C:P,14,FALSE)</f>
        <v>0</v>
      </c>
      <c r="M126" s="5">
        <f>VLOOKUP(G126,全部!C:V,20,FALSE)*100</f>
        <v>3.5999999999999996</v>
      </c>
      <c r="N126" s="6">
        <f>VLOOKUP(G126,全部!C:W,21,FALSE)</f>
        <v>112219.05527999999</v>
      </c>
      <c r="O126" s="4">
        <f>VLOOKUP(G126,全部!C:X,22,FALSE)</f>
        <v>112219</v>
      </c>
      <c r="P126" s="4">
        <f>VLOOKUP(G126,全部!C:Y,23,FALSE)</f>
        <v>112219</v>
      </c>
      <c r="Q126" s="6">
        <f>VLOOKUP(G126,全部!C:Z,24,FALSE)</f>
        <v>0</v>
      </c>
      <c r="R126" s="7">
        <f>VLOOKUP(G126,全部!C:AA,25,FALSE)</f>
        <v>1555000</v>
      </c>
      <c r="S126" s="7">
        <f>VLOOKUP(G126,全部!C:AB,26,FALSE)</f>
        <v>1555000</v>
      </c>
      <c r="T126" s="4">
        <f>VLOOKUP(计算!G126,全部!C:AC,27,FALSE)</f>
        <v>1520000</v>
      </c>
      <c r="U126" s="4">
        <f>VLOOKUP(G126,全部!C:AD,28,FALSE)</f>
        <v>1520000</v>
      </c>
      <c r="V126" s="6">
        <f>VLOOKUP(G126,全部!C:AE,29,FALSE)</f>
        <v>0.48761772110331031</v>
      </c>
      <c r="W126" s="4">
        <f>VLOOKUP(G126,全部!C:AF,30,FALSE)</f>
        <v>1449499.64</v>
      </c>
      <c r="X126" s="4">
        <f>VLOOKUP(G126,全部!C:AG,31,FALSE)</f>
        <v>1449499.64</v>
      </c>
      <c r="Y126" s="4">
        <f>VLOOKUP(计算!G126,全部!C:AH,32,FALSE)</f>
        <v>1502369.64</v>
      </c>
      <c r="Z126" s="4">
        <f>VLOOKUP(G126,全部!C:AL,36,FALSE)</f>
        <v>1502369.64</v>
      </c>
      <c r="AA126" s="4">
        <f>VLOOKUP(G126,全部!C:AM,37,FALSE)</f>
        <v>3.4000000000000002E-2</v>
      </c>
      <c r="AB126" s="6">
        <f>VLOOKUP(G126,全部!C:AN,38,FALSE)</f>
        <v>52870.000000000007</v>
      </c>
      <c r="AC126" s="4">
        <f>VLOOKUP(G126,全部!C:AO,39,FALSE)</f>
        <v>52870</v>
      </c>
      <c r="AD126" s="4">
        <f>VLOOKUP(G126,全部!C:AP,40,FALSE)</f>
        <v>52870</v>
      </c>
      <c r="AE126" s="6">
        <f>VLOOKUP(G126,全部!C:AQ,41,FALSE)</f>
        <v>0</v>
      </c>
      <c r="AF126" s="4">
        <f>VLOOKUP(G126,全部!C:AR,42,FALSE)</f>
        <v>0</v>
      </c>
      <c r="AG126" s="7">
        <f>VLOOKUP(G126,全部!C:AS,43,FALSE)</f>
        <v>35</v>
      </c>
      <c r="AH126" s="64" t="str">
        <f>IF(VLOOKUP(G126,全部!C:AT,44,FALSE)=0,"",VLOOKUP(G126,全部!C:AT,44,FALSE))</f>
        <v>大兴</v>
      </c>
      <c r="AI126">
        <v>0</v>
      </c>
      <c r="AJ126" s="3">
        <v>41912.686273148101</v>
      </c>
      <c r="AK126" s="2" t="s">
        <v>1951</v>
      </c>
    </row>
    <row r="127" spans="1:37" x14ac:dyDescent="0.15">
      <c r="A127" s="2" t="s">
        <v>1950</v>
      </c>
      <c r="B127">
        <v>151</v>
      </c>
      <c r="C127" s="3">
        <v>41579</v>
      </c>
      <c r="D127" s="2" t="s">
        <v>37</v>
      </c>
      <c r="E127" s="2" t="s">
        <v>1949</v>
      </c>
      <c r="F127" s="2" t="s">
        <v>41</v>
      </c>
      <c r="G127" s="2" t="s">
        <v>291</v>
      </c>
      <c r="H127" s="2" t="s">
        <v>292</v>
      </c>
      <c r="I127" s="4">
        <f>VLOOKUP(G127,全部!C:M,11,FALSE)</f>
        <v>5489711</v>
      </c>
      <c r="J127" s="4">
        <f t="shared" si="1"/>
        <v>0</v>
      </c>
      <c r="K127" s="4">
        <f>VLOOKUP(计算!G127,全部!C:N,12,FALSE)</f>
        <v>0</v>
      </c>
      <c r="L127" s="5">
        <f>VLOOKUP(G127,全部!C:P,14,FALSE)</f>
        <v>0</v>
      </c>
      <c r="M127" s="5">
        <f>VLOOKUP(G127,全部!C:V,20,FALSE)*100</f>
        <v>3</v>
      </c>
      <c r="N127" s="6">
        <f>VLOOKUP(G127,全部!C:W,21,FALSE)</f>
        <v>164691.32999999999</v>
      </c>
      <c r="O127" s="4">
        <f>VLOOKUP(G127,全部!C:X,22,FALSE)</f>
        <v>164692</v>
      </c>
      <c r="P127" s="4">
        <f>VLOOKUP(G127,全部!C:Y,23,FALSE)</f>
        <v>164692</v>
      </c>
      <c r="Q127" s="6">
        <f>VLOOKUP(G127,全部!C:Z,24,FALSE)</f>
        <v>-0.67000000001280569</v>
      </c>
      <c r="R127" s="7">
        <f>VLOOKUP(G127,全部!C:AA,25,FALSE)</f>
        <v>0</v>
      </c>
      <c r="S127" s="7">
        <f>VLOOKUP(G127,全部!C:AB,26,FALSE)</f>
        <v>0</v>
      </c>
      <c r="T127" s="4">
        <f>VLOOKUP(计算!G127,全部!C:AC,27,FALSE)</f>
        <v>4391768.8</v>
      </c>
      <c r="U127" s="4">
        <f>VLOOKUP(G127,全部!C:AD,28,FALSE)</f>
        <v>4391768.8</v>
      </c>
      <c r="V127" s="6">
        <f>VLOOKUP(G127,全部!C:AE,29,FALSE)</f>
        <v>0.79999999999999993</v>
      </c>
      <c r="W127" s="4">
        <f>VLOOKUP(G127,全部!C:AF,30,FALSE)</f>
        <v>0</v>
      </c>
      <c r="X127" s="4">
        <f>VLOOKUP(G127,全部!C:AG,31,FALSE)</f>
        <v>0</v>
      </c>
      <c r="Y127" s="4">
        <f>VLOOKUP(计算!G127,全部!C:AH,32,FALSE)</f>
        <v>4131953.83</v>
      </c>
      <c r="Z127" s="4">
        <f>VLOOKUP(G127,全部!C:AL,36,FALSE)</f>
        <v>4131953.83</v>
      </c>
      <c r="AA127" s="4">
        <f>VLOOKUP(G127,全部!C:AM,37,FALSE)</f>
        <v>3.61E-2</v>
      </c>
      <c r="AB127" s="6">
        <f>VLOOKUP(G127,全部!C:AN,38,FALSE)</f>
        <v>198178.56710000001</v>
      </c>
      <c r="AC127" s="4">
        <f>VLOOKUP(G127,全部!C:AO,39,FALSE)</f>
        <v>158542.85999999999</v>
      </c>
      <c r="AD127" s="4">
        <f>VLOOKUP(G127,全部!C:AP,40,FALSE)</f>
        <v>158542.85999999999</v>
      </c>
      <c r="AE127" s="6">
        <f>VLOOKUP(G127,全部!C:AQ,41,FALSE)</f>
        <v>39635.707100000029</v>
      </c>
      <c r="AF127" s="4">
        <f>VLOOKUP(G127,全部!C:AR,42,FALSE)</f>
        <v>0</v>
      </c>
      <c r="AG127" s="7">
        <f>VLOOKUP(G127,全部!C:AS,43,FALSE)</f>
        <v>0</v>
      </c>
      <c r="AH127" s="64" t="str">
        <f>IF(VLOOKUP(G127,全部!C:AT,44,FALSE)=0,"",VLOOKUP(G127,全部!C:AT,44,FALSE))</f>
        <v/>
      </c>
      <c r="AI127">
        <v>0</v>
      </c>
      <c r="AJ127" s="3">
        <v>41912.6862384259</v>
      </c>
      <c r="AK127" s="2" t="s">
        <v>1948</v>
      </c>
    </row>
    <row r="128" spans="1:37" x14ac:dyDescent="0.15">
      <c r="A128" s="2" t="s">
        <v>1947</v>
      </c>
      <c r="B128">
        <v>1024</v>
      </c>
      <c r="C128" s="3">
        <v>41583</v>
      </c>
      <c r="D128" s="2" t="s">
        <v>37</v>
      </c>
      <c r="E128" s="2" t="s">
        <v>1946</v>
      </c>
      <c r="F128" s="2" t="s">
        <v>38</v>
      </c>
      <c r="G128" s="2" t="s">
        <v>295</v>
      </c>
      <c r="H128" s="2" t="s">
        <v>296</v>
      </c>
      <c r="I128" s="4">
        <f>VLOOKUP(G128,全部!C:M,11,FALSE)</f>
        <v>76467</v>
      </c>
      <c r="J128" s="4">
        <f t="shared" si="1"/>
        <v>479</v>
      </c>
      <c r="K128" s="4">
        <f>VLOOKUP(计算!G128,全部!C:N,12,FALSE)</f>
        <v>479</v>
      </c>
      <c r="L128" s="5">
        <f>VLOOKUP(G128,全部!C:P,14,FALSE)</f>
        <v>0</v>
      </c>
      <c r="M128" s="5">
        <f>VLOOKUP(G128,全部!C:V,20,FALSE)*100</f>
        <v>3.5999999999999996</v>
      </c>
      <c r="N128" s="6">
        <f>VLOOKUP(G128,全部!C:W,21,FALSE)</f>
        <v>2770.0559999999996</v>
      </c>
      <c r="O128" s="4">
        <f>VLOOKUP(G128,全部!C:X,22,FALSE)</f>
        <v>2753</v>
      </c>
      <c r="P128" s="4">
        <f>VLOOKUP(G128,全部!C:Y,23,FALSE)</f>
        <v>2753</v>
      </c>
      <c r="Q128" s="6">
        <f>VLOOKUP(G128,全部!C:Z,24,FALSE)</f>
        <v>17.055999999999585</v>
      </c>
      <c r="R128" s="7">
        <f>VLOOKUP(G128,全部!C:AA,25,FALSE)</f>
        <v>76946</v>
      </c>
      <c r="S128" s="7">
        <f>VLOOKUP(G128,全部!C:AB,26,FALSE)</f>
        <v>76946</v>
      </c>
      <c r="T128" s="4">
        <f>VLOOKUP(计算!G128,全部!C:AC,27,FALSE)</f>
        <v>54000</v>
      </c>
      <c r="U128" s="4">
        <f>VLOOKUP(G128,全部!C:AD,28,FALSE)</f>
        <v>54000</v>
      </c>
      <c r="V128" s="6">
        <f>VLOOKUP(G128,全部!C:AE,29,FALSE)</f>
        <v>0.70179086632183607</v>
      </c>
      <c r="W128" s="4">
        <f>VLOOKUP(G128,全部!C:AF,30,FALSE)</f>
        <v>50000</v>
      </c>
      <c r="X128" s="4">
        <f>VLOOKUP(G128,全部!C:AG,31,FALSE)</f>
        <v>50000</v>
      </c>
      <c r="Y128" s="4">
        <f>VLOOKUP(计算!G128,全部!C:AH,32,FALSE)</f>
        <v>52616</v>
      </c>
      <c r="Z128" s="4">
        <f>VLOOKUP(G128,全部!C:AL,36,FALSE)</f>
        <v>52616</v>
      </c>
      <c r="AA128" s="4">
        <f>VLOOKUP(G128,全部!C:AM,37,FALSE)</f>
        <v>3.4000000000000002E-2</v>
      </c>
      <c r="AB128" s="6">
        <f>VLOOKUP(G128,全部!C:AN,38,FALSE)</f>
        <v>2616.1640000000002</v>
      </c>
      <c r="AC128" s="4">
        <f>VLOOKUP(G128,全部!C:AO,39,FALSE)</f>
        <v>2616</v>
      </c>
      <c r="AD128" s="4">
        <f>VLOOKUP(G128,全部!C:AP,40,FALSE)</f>
        <v>2616</v>
      </c>
      <c r="AE128" s="6">
        <f>VLOOKUP(G128,全部!C:AQ,41,FALSE)</f>
        <v>0</v>
      </c>
      <c r="AF128" s="4">
        <f>VLOOKUP(G128,全部!C:AR,42,FALSE)</f>
        <v>0</v>
      </c>
      <c r="AG128" s="7">
        <f>VLOOKUP(G128,全部!C:AS,43,FALSE)</f>
        <v>0</v>
      </c>
      <c r="AH128" s="64" t="str">
        <f>IF(VLOOKUP(G128,全部!C:AT,44,FALSE)=0,"",VLOOKUP(G128,全部!C:AT,44,FALSE))</f>
        <v/>
      </c>
      <c r="AI128">
        <v>0</v>
      </c>
      <c r="AJ128" s="3">
        <v>41912.686273148101</v>
      </c>
      <c r="AK128" s="2" t="s">
        <v>1945</v>
      </c>
    </row>
    <row r="129" spans="1:37" x14ac:dyDescent="0.15">
      <c r="A129" s="2" t="s">
        <v>1944</v>
      </c>
      <c r="B129">
        <v>943</v>
      </c>
      <c r="C129" s="3">
        <v>41588</v>
      </c>
      <c r="D129" s="2" t="s">
        <v>37</v>
      </c>
      <c r="E129" s="2" t="s">
        <v>1943</v>
      </c>
      <c r="F129" s="2" t="s">
        <v>38</v>
      </c>
      <c r="G129" s="2" t="s">
        <v>297</v>
      </c>
      <c r="H129" s="2" t="s">
        <v>298</v>
      </c>
      <c r="I129" s="4">
        <f>VLOOKUP(G129,全部!C:M,11,FALSE)</f>
        <v>20420000</v>
      </c>
      <c r="J129" s="4">
        <f t="shared" si="1"/>
        <v>0</v>
      </c>
      <c r="K129" s="4">
        <f>VLOOKUP(计算!G129,全部!C:N,12,FALSE)</f>
        <v>0</v>
      </c>
      <c r="L129" s="5">
        <f>VLOOKUP(G129,全部!C:P,14,FALSE)</f>
        <v>0</v>
      </c>
      <c r="M129" s="5">
        <f>VLOOKUP(G129,全部!C:V,20,FALSE)*100</f>
        <v>3</v>
      </c>
      <c r="N129" s="6">
        <f>VLOOKUP(G129,全部!C:W,21,FALSE)</f>
        <v>612600</v>
      </c>
      <c r="O129" s="4">
        <f>VLOOKUP(G129,全部!C:X,22,FALSE)</f>
        <v>612600.5</v>
      </c>
      <c r="P129" s="4">
        <f>VLOOKUP(G129,全部!C:Y,23,FALSE)</f>
        <v>612600.5</v>
      </c>
      <c r="Q129" s="6">
        <f>VLOOKUP(G129,全部!C:Z,24,FALSE)</f>
        <v>0</v>
      </c>
      <c r="R129" s="7">
        <f>VLOOKUP(G129,全部!C:AA,25,FALSE)</f>
        <v>7357840.3600000003</v>
      </c>
      <c r="S129" s="7">
        <f>VLOOKUP(G129,全部!C:AB,26,FALSE)</f>
        <v>7357840.3600000003</v>
      </c>
      <c r="T129" s="4">
        <f>VLOOKUP(计算!G129,全部!C:AC,27,FALSE)</f>
        <v>7357840.3600000003</v>
      </c>
      <c r="U129" s="4">
        <f>VLOOKUP(G129,全部!C:AD,28,FALSE)</f>
        <v>7357840.3600000003</v>
      </c>
      <c r="V129" s="6">
        <f>VLOOKUP(G129,全部!C:AE,29,FALSE)</f>
        <v>0.36032518903036242</v>
      </c>
      <c r="W129" s="4">
        <f>VLOOKUP(G129,全部!C:AF,30,FALSE)</f>
        <v>7006009.6999999993</v>
      </c>
      <c r="X129" s="4">
        <f>VLOOKUP(G129,全部!C:AG,31,FALSE)</f>
        <v>7006009.7000000002</v>
      </c>
      <c r="Y129" s="4">
        <f>VLOOKUP(计算!G129,全部!C:AH,32,FALSE)</f>
        <v>7147414.3300000001</v>
      </c>
      <c r="Z129" s="4">
        <f>VLOOKUP(G129,全部!C:AL,36,FALSE)</f>
        <v>7150316.3300000001</v>
      </c>
      <c r="AA129" s="4">
        <f>VLOOKUP(G129,全部!C:AM,37,FALSE)</f>
        <v>3.56E-2</v>
      </c>
      <c r="AB129" s="6">
        <f>VLOOKUP(G129,全部!C:AN,38,FALSE)</f>
        <v>261939.11681600002</v>
      </c>
      <c r="AC129" s="4">
        <f>VLOOKUP(G129,全部!C:AO,39,FALSE)</f>
        <v>0</v>
      </c>
      <c r="AD129" s="4">
        <f>VLOOKUP(G129,全部!C:AP,40,FALSE)</f>
        <v>0</v>
      </c>
      <c r="AE129" s="6">
        <f>VLOOKUP(G129,全部!C:AQ,41,FALSE)</f>
        <v>0</v>
      </c>
      <c r="AF129" s="4">
        <f>VLOOKUP(G129,全部!C:AR,42,FALSE)</f>
        <v>0</v>
      </c>
      <c r="AG129" s="7">
        <f>VLOOKUP(G129,全部!C:AS,43,FALSE)</f>
        <v>0</v>
      </c>
      <c r="AH129" s="64" t="str">
        <f>IF(VLOOKUP(G129,全部!C:AT,44,FALSE)=0,"",VLOOKUP(G129,全部!C:AT,44,FALSE))</f>
        <v/>
      </c>
      <c r="AI129">
        <v>0</v>
      </c>
      <c r="AJ129" s="3">
        <v>41912.686273148101</v>
      </c>
      <c r="AK129" s="2" t="s">
        <v>1942</v>
      </c>
    </row>
    <row r="130" spans="1:37" x14ac:dyDescent="0.15">
      <c r="A130" s="2" t="s">
        <v>1941</v>
      </c>
      <c r="B130">
        <v>1034</v>
      </c>
      <c r="C130" s="3">
        <v>41592</v>
      </c>
      <c r="D130" s="2" t="s">
        <v>37</v>
      </c>
      <c r="E130" s="2" t="s">
        <v>1940</v>
      </c>
      <c r="F130" s="2" t="s">
        <v>38</v>
      </c>
      <c r="G130" s="2" t="s">
        <v>299</v>
      </c>
      <c r="H130" s="2" t="s">
        <v>300</v>
      </c>
      <c r="I130" s="4">
        <f>VLOOKUP(G130,全部!C:M,11,FALSE)</f>
        <v>3058486</v>
      </c>
      <c r="J130" s="4">
        <f t="shared" si="1"/>
        <v>0</v>
      </c>
      <c r="K130" s="4">
        <f>VLOOKUP(计算!G130,全部!C:N,12,FALSE)</f>
        <v>0</v>
      </c>
      <c r="L130" s="5">
        <f>VLOOKUP(G130,全部!C:P,14,FALSE)</f>
        <v>0</v>
      </c>
      <c r="M130" s="5">
        <f>VLOOKUP(G130,全部!C:V,20,FALSE)*100</f>
        <v>3.5999999999999996</v>
      </c>
      <c r="N130" s="6">
        <f>VLOOKUP(G130,全部!C:W,21,FALSE)</f>
        <v>110105.49599999998</v>
      </c>
      <c r="O130" s="4">
        <f>VLOOKUP(G130,全部!C:X,22,FALSE)</f>
        <v>110105.36</v>
      </c>
      <c r="P130" s="4">
        <f>VLOOKUP(G130,全部!C:Y,23,FALSE)</f>
        <v>110105.36</v>
      </c>
      <c r="Q130" s="6">
        <f>VLOOKUP(G130,全部!C:Z,24,FALSE)</f>
        <v>0</v>
      </c>
      <c r="R130" s="7">
        <f>VLOOKUP(G130,全部!C:AA,25,FALSE)</f>
        <v>2140940.2000000002</v>
      </c>
      <c r="S130" s="7">
        <f>VLOOKUP(G130,全部!C:AB,26,FALSE)</f>
        <v>2140940.2000000002</v>
      </c>
      <c r="T130" s="4">
        <f>VLOOKUP(计算!G130,全部!C:AC,27,FALSE)</f>
        <v>2140940.2000000002</v>
      </c>
      <c r="U130" s="4">
        <f>VLOOKUP(G130,全部!C:AD,28,FALSE)</f>
        <v>2140940.2000000002</v>
      </c>
      <c r="V130" s="6">
        <f>VLOOKUP(G130,全部!C:AE,29,FALSE)</f>
        <v>0.70000000000000007</v>
      </c>
      <c r="W130" s="4">
        <f>VLOOKUP(G130,全部!C:AF,30,FALSE)</f>
        <v>1955643.64</v>
      </c>
      <c r="X130" s="4">
        <f>VLOOKUP(G130,全部!C:AG,31,FALSE)</f>
        <v>1955643.64</v>
      </c>
      <c r="Y130" s="4">
        <f>VLOOKUP(计算!G130,全部!C:AH,32,FALSE)</f>
        <v>2022412.17</v>
      </c>
      <c r="Z130" s="4">
        <f>VLOOKUP(G130,全部!C:AL,36,FALSE)</f>
        <v>2029969.67</v>
      </c>
      <c r="AA130" s="4">
        <f>VLOOKUP(G130,全部!C:AM,37,FALSE)</f>
        <v>0</v>
      </c>
      <c r="AB130" s="6">
        <f>VLOOKUP(G130,全部!C:AN,38,FALSE)</f>
        <v>0</v>
      </c>
      <c r="AC130" s="4">
        <f>VLOOKUP(G130,全部!C:AO,39,FALSE)</f>
        <v>0</v>
      </c>
      <c r="AD130" s="4">
        <f>VLOOKUP(G130,全部!C:AP,40,FALSE)</f>
        <v>0</v>
      </c>
      <c r="AE130" s="6">
        <f>VLOOKUP(G130,全部!C:AQ,41,FALSE)</f>
        <v>0</v>
      </c>
      <c r="AF130" s="4">
        <f>VLOOKUP(G130,全部!C:AR,42,FALSE)</f>
        <v>0</v>
      </c>
      <c r="AG130" s="7">
        <f>VLOOKUP(G130,全部!C:AS,43,FALSE)</f>
        <v>30</v>
      </c>
      <c r="AH130" s="64" t="str">
        <f>IF(VLOOKUP(G130,全部!C:AT,44,FALSE)=0,"",VLOOKUP(G130,全部!C:AT,44,FALSE))</f>
        <v>管庄</v>
      </c>
      <c r="AI130">
        <v>0</v>
      </c>
      <c r="AJ130" s="3">
        <v>41912.686273148101</v>
      </c>
      <c r="AK130" s="2" t="s">
        <v>1939</v>
      </c>
    </row>
    <row r="131" spans="1:37" x14ac:dyDescent="0.15">
      <c r="A131" s="2" t="s">
        <v>1938</v>
      </c>
      <c r="B131">
        <v>1036</v>
      </c>
      <c r="C131" s="3">
        <v>41596</v>
      </c>
      <c r="D131" s="2" t="s">
        <v>37</v>
      </c>
      <c r="E131" s="2" t="s">
        <v>1937</v>
      </c>
      <c r="F131" s="2" t="s">
        <v>38</v>
      </c>
      <c r="G131" s="2" t="s">
        <v>301</v>
      </c>
      <c r="H131" s="2" t="s">
        <v>302</v>
      </c>
      <c r="I131" s="4">
        <f>VLOOKUP(G131,全部!C:M,11,FALSE)</f>
        <v>12067070</v>
      </c>
      <c r="J131" s="4">
        <f t="shared" ref="J131:J194" si="2">K131</f>
        <v>0</v>
      </c>
      <c r="K131" s="4">
        <f>VLOOKUP(计算!G131,全部!C:N,12,FALSE)</f>
        <v>0</v>
      </c>
      <c r="L131" s="5">
        <f>VLOOKUP(G131,全部!C:P,14,FALSE)</f>
        <v>0</v>
      </c>
      <c r="M131" s="5">
        <f>VLOOKUP(G131,全部!C:V,20,FALSE)*100</f>
        <v>3</v>
      </c>
      <c r="N131" s="6">
        <f>VLOOKUP(G131,全部!C:W,21,FALSE)</f>
        <v>362012.1</v>
      </c>
      <c r="O131" s="4">
        <f>VLOOKUP(G131,全部!C:X,22,FALSE)</f>
        <v>0</v>
      </c>
      <c r="P131" s="4">
        <f>VLOOKUP(G131,全部!C:Y,23,FALSE)</f>
        <v>0</v>
      </c>
      <c r="Q131" s="6">
        <f>VLOOKUP(G131,全部!C:Z,24,FALSE)</f>
        <v>362012.1</v>
      </c>
      <c r="R131" s="7">
        <f>VLOOKUP(G131,全部!C:AA,25,FALSE)</f>
        <v>0</v>
      </c>
      <c r="S131" s="7">
        <f>VLOOKUP(G131,全部!C:AB,26,FALSE)</f>
        <v>0</v>
      </c>
      <c r="T131" s="4">
        <f>VLOOKUP(计算!G131,全部!C:AC,27,FALSE)</f>
        <v>0</v>
      </c>
      <c r="U131" s="4">
        <f>VLOOKUP(G131,全部!C:AD,28,FALSE)</f>
        <v>0</v>
      </c>
      <c r="V131" s="6">
        <f>VLOOKUP(G131,全部!C:AE,29,FALSE)</f>
        <v>0</v>
      </c>
      <c r="W131" s="4">
        <f>VLOOKUP(G131,全部!C:AF,30,FALSE)</f>
        <v>0</v>
      </c>
      <c r="X131" s="4">
        <f>VLOOKUP(G131,全部!C:AG,31,FALSE)</f>
        <v>0</v>
      </c>
      <c r="Y131" s="4">
        <f>VLOOKUP(计算!G131,全部!C:AH,32,FALSE)</f>
        <v>0</v>
      </c>
      <c r="Z131" s="4">
        <f>VLOOKUP(G131,全部!C:AL,36,FALSE)</f>
        <v>0</v>
      </c>
      <c r="AA131" s="4">
        <f>VLOOKUP(G131,全部!C:AM,37,FALSE)</f>
        <v>3.4000000000000002E-2</v>
      </c>
      <c r="AB131" s="6">
        <f>VLOOKUP(G131,全部!C:AN,38,FALSE)</f>
        <v>0</v>
      </c>
      <c r="AC131" s="4">
        <f>VLOOKUP(G131,全部!C:AO,39,FALSE)</f>
        <v>0</v>
      </c>
      <c r="AD131" s="4">
        <f>VLOOKUP(G131,全部!C:AP,40,FALSE)</f>
        <v>0</v>
      </c>
      <c r="AE131" s="6">
        <f>VLOOKUP(G131,全部!C:AQ,41,FALSE)</f>
        <v>0</v>
      </c>
      <c r="AF131" s="4">
        <f>VLOOKUP(G131,全部!C:AR,42,FALSE)</f>
        <v>0</v>
      </c>
      <c r="AG131" s="7">
        <f>VLOOKUP(G131,全部!C:AS,43,FALSE)</f>
        <v>140</v>
      </c>
      <c r="AH131" s="64" t="str">
        <f>IF(VLOOKUP(G131,全部!C:AT,44,FALSE)=0,"",VLOOKUP(G131,全部!C:AT,44,FALSE))</f>
        <v>大厂</v>
      </c>
      <c r="AI131">
        <v>0</v>
      </c>
      <c r="AJ131" s="3">
        <v>41912.686273148101</v>
      </c>
      <c r="AK131" s="2" t="s">
        <v>1936</v>
      </c>
    </row>
    <row r="132" spans="1:37" x14ac:dyDescent="0.15">
      <c r="A132" s="2" t="s">
        <v>1935</v>
      </c>
      <c r="B132">
        <v>1016</v>
      </c>
      <c r="C132" s="3">
        <v>41599</v>
      </c>
      <c r="D132" s="2" t="s">
        <v>37</v>
      </c>
      <c r="E132" s="2" t="s">
        <v>1934</v>
      </c>
      <c r="F132" s="2" t="s">
        <v>38</v>
      </c>
      <c r="G132" s="2" t="s">
        <v>304</v>
      </c>
      <c r="H132" s="2" t="s">
        <v>305</v>
      </c>
      <c r="I132" s="4">
        <f>VLOOKUP(G132,全部!C:M,11,FALSE)</f>
        <v>5811890</v>
      </c>
      <c r="J132" s="4">
        <f t="shared" si="2"/>
        <v>0</v>
      </c>
      <c r="K132" s="4">
        <f>VLOOKUP(计算!G132,全部!C:N,12,FALSE)</f>
        <v>0</v>
      </c>
      <c r="L132" s="5">
        <f>VLOOKUP(G132,全部!C:P,14,FALSE)</f>
        <v>0</v>
      </c>
      <c r="M132" s="5">
        <f>VLOOKUP(G132,全部!C:V,20,FALSE)*100</f>
        <v>4</v>
      </c>
      <c r="N132" s="6">
        <f>VLOOKUP(G132,全部!C:W,21,FALSE)</f>
        <v>232475.6</v>
      </c>
      <c r="O132" s="4">
        <f>VLOOKUP(G132,全部!C:X,22,FALSE)</f>
        <v>232476</v>
      </c>
      <c r="P132" s="4">
        <f>VLOOKUP(G132,全部!C:Y,23,FALSE)</f>
        <v>232476</v>
      </c>
      <c r="Q132" s="6">
        <f>VLOOKUP(G132,全部!C:Z,24,FALSE)</f>
        <v>0</v>
      </c>
      <c r="R132" s="7">
        <f>VLOOKUP(G132,全部!C:AA,25,FALSE)</f>
        <v>2200000</v>
      </c>
      <c r="S132" s="7">
        <f>VLOOKUP(G132,全部!C:AB,26,FALSE)</f>
        <v>2200000</v>
      </c>
      <c r="T132" s="4">
        <f>VLOOKUP(计算!G132,全部!C:AC,27,FALSE)</f>
        <v>2200000</v>
      </c>
      <c r="U132" s="4">
        <f>VLOOKUP(G132,全部!C:AD,28,FALSE)</f>
        <v>2200000</v>
      </c>
      <c r="V132" s="6">
        <f>VLOOKUP(G132,全部!C:AE,29,FALSE)</f>
        <v>0.37853434941129305</v>
      </c>
      <c r="W132" s="4">
        <f>VLOOKUP(G132,全部!C:AF,30,FALSE)</f>
        <v>1623974</v>
      </c>
      <c r="X132" s="4">
        <f>VLOOKUP(G132,全部!C:AG,31,FALSE)</f>
        <v>1623974</v>
      </c>
      <c r="Y132" s="4">
        <f>VLOOKUP(计算!G132,全部!C:AH,32,FALSE)</f>
        <v>1698774</v>
      </c>
      <c r="Z132" s="4">
        <f>VLOOKUP(G132,全部!C:AL,36,FALSE)</f>
        <v>1698774</v>
      </c>
      <c r="AA132" s="4">
        <f>VLOOKUP(G132,全部!C:AM,37,FALSE)</f>
        <v>3.4000000000000002E-2</v>
      </c>
      <c r="AB132" s="6">
        <f>VLOOKUP(G132,全部!C:AN,38,FALSE)</f>
        <v>74800</v>
      </c>
      <c r="AC132" s="4">
        <f>VLOOKUP(G132,全部!C:AO,39,FALSE)</f>
        <v>74800</v>
      </c>
      <c r="AD132" s="4">
        <f>VLOOKUP(G132,全部!C:AP,40,FALSE)</f>
        <v>74800</v>
      </c>
      <c r="AE132" s="6">
        <f>VLOOKUP(G132,全部!C:AQ,41,FALSE)</f>
        <v>0</v>
      </c>
      <c r="AF132" s="4">
        <f>VLOOKUP(G132,全部!C:AR,42,FALSE)</f>
        <v>0</v>
      </c>
      <c r="AG132" s="7">
        <f>VLOOKUP(G132,全部!C:AS,43,FALSE)</f>
        <v>0</v>
      </c>
      <c r="AH132" s="64" t="str">
        <f>IF(VLOOKUP(G132,全部!C:AT,44,FALSE)=0,"",VLOOKUP(G132,全部!C:AT,44,FALSE))</f>
        <v/>
      </c>
      <c r="AI132">
        <v>0</v>
      </c>
      <c r="AJ132" s="3">
        <v>41912.686273148101</v>
      </c>
      <c r="AK132" s="2" t="s">
        <v>1933</v>
      </c>
    </row>
    <row r="133" spans="1:37" x14ac:dyDescent="0.15">
      <c r="A133" s="2" t="s">
        <v>1932</v>
      </c>
      <c r="B133">
        <v>168</v>
      </c>
      <c r="C133" s="3">
        <v>41609</v>
      </c>
      <c r="D133" s="2" t="s">
        <v>37</v>
      </c>
      <c r="E133" s="2" t="s">
        <v>1931</v>
      </c>
      <c r="F133" s="2" t="s">
        <v>41</v>
      </c>
      <c r="G133" s="2" t="s">
        <v>318</v>
      </c>
      <c r="H133" s="2" t="s">
        <v>319</v>
      </c>
      <c r="I133" s="4">
        <f>VLOOKUP(G133,全部!C:M,11,FALSE)</f>
        <v>710641.6</v>
      </c>
      <c r="J133" s="4">
        <f t="shared" si="2"/>
        <v>0</v>
      </c>
      <c r="K133" s="4">
        <f>VLOOKUP(计算!G133,全部!C:N,12,FALSE)</f>
        <v>0</v>
      </c>
      <c r="L133" s="5">
        <f>VLOOKUP(G133,全部!C:P,14,FALSE)</f>
        <v>0</v>
      </c>
      <c r="M133" s="5">
        <f>VLOOKUP(G133,全部!C:V,20,FALSE)*100</f>
        <v>3.5999999999999996</v>
      </c>
      <c r="N133" s="6">
        <f>VLOOKUP(G133,全部!C:W,21,FALSE)</f>
        <v>25583.097599999997</v>
      </c>
      <c r="O133" s="4">
        <f>VLOOKUP(G133,全部!C:X,22,FALSE)</f>
        <v>25583.1</v>
      </c>
      <c r="P133" s="4">
        <f>VLOOKUP(G133,全部!C:Y,23,FALSE)</f>
        <v>25583.1</v>
      </c>
      <c r="Q133" s="6">
        <f>VLOOKUP(G133,全部!C:Z,24,FALSE)</f>
        <v>-2.4000000012165401E-3</v>
      </c>
      <c r="R133" s="7">
        <f>VLOOKUP(G133,全部!C:AA,25,FALSE)</f>
        <v>0</v>
      </c>
      <c r="S133" s="7">
        <f>VLOOKUP(G133,全部!C:AB,26,FALSE)</f>
        <v>0</v>
      </c>
      <c r="T133" s="4">
        <f>VLOOKUP(计算!G133,全部!C:AC,27,FALSE)</f>
        <v>0</v>
      </c>
      <c r="U133" s="4">
        <f>VLOOKUP(G133,全部!C:AD,28,FALSE)</f>
        <v>0</v>
      </c>
      <c r="V133" s="6">
        <f>VLOOKUP(G133,全部!C:AE,29,FALSE)</f>
        <v>0</v>
      </c>
      <c r="W133" s="4">
        <f>VLOOKUP(G133,全部!C:AF,30,FALSE)</f>
        <v>0</v>
      </c>
      <c r="X133" s="4">
        <f>VLOOKUP(G133,全部!C:AG,31,FALSE)</f>
        <v>0</v>
      </c>
      <c r="Y133" s="4">
        <f>VLOOKUP(计算!G133,全部!C:AH,32,FALSE)</f>
        <v>0</v>
      </c>
      <c r="Z133" s="4">
        <f>VLOOKUP(G133,全部!C:AL,36,FALSE)</f>
        <v>0</v>
      </c>
      <c r="AA133" s="4">
        <f>VLOOKUP(G133,全部!C:AM,37,FALSE)</f>
        <v>0</v>
      </c>
      <c r="AB133" s="6">
        <f>VLOOKUP(G133,全部!C:AN,38,FALSE)</f>
        <v>0</v>
      </c>
      <c r="AC133" s="4">
        <f>VLOOKUP(G133,全部!C:AO,39,FALSE)</f>
        <v>0</v>
      </c>
      <c r="AD133" s="4">
        <f>VLOOKUP(G133,全部!C:AP,40,FALSE)</f>
        <v>0</v>
      </c>
      <c r="AE133" s="6">
        <f>VLOOKUP(G133,全部!C:AQ,41,FALSE)</f>
        <v>0</v>
      </c>
      <c r="AF133" s="4">
        <f>VLOOKUP(G133,全部!C:AR,42,FALSE)</f>
        <v>0</v>
      </c>
      <c r="AG133" s="7">
        <f>VLOOKUP(G133,全部!C:AS,43,FALSE)</f>
        <v>0</v>
      </c>
      <c r="AH133" s="64" t="str">
        <f>IF(VLOOKUP(G133,全部!C:AT,44,FALSE)=0,"",VLOOKUP(G133,全部!C:AT,44,FALSE))</f>
        <v/>
      </c>
      <c r="AI133">
        <v>0</v>
      </c>
      <c r="AJ133" s="3">
        <v>41912.6862384259</v>
      </c>
      <c r="AK133" s="2" t="s">
        <v>1930</v>
      </c>
    </row>
    <row r="134" spans="1:37" x14ac:dyDescent="0.15">
      <c r="A134" s="2" t="s">
        <v>1929</v>
      </c>
      <c r="B134">
        <v>156</v>
      </c>
      <c r="C134" s="3">
        <v>41609</v>
      </c>
      <c r="D134" s="2" t="s">
        <v>37</v>
      </c>
      <c r="E134" s="2" t="s">
        <v>1928</v>
      </c>
      <c r="F134" s="2" t="s">
        <v>41</v>
      </c>
      <c r="G134" s="2" t="s">
        <v>316</v>
      </c>
      <c r="H134" s="2" t="s">
        <v>317</v>
      </c>
      <c r="I134" s="4">
        <f>VLOOKUP(G134,全部!C:M,11,FALSE)</f>
        <v>9753320.8200000003</v>
      </c>
      <c r="J134" s="4">
        <f t="shared" si="2"/>
        <v>0</v>
      </c>
      <c r="K134" s="4">
        <f>VLOOKUP(计算!G134,全部!C:N,12,FALSE)</f>
        <v>0</v>
      </c>
      <c r="L134" s="5">
        <f>VLOOKUP(G134,全部!C:P,14,FALSE)</f>
        <v>0</v>
      </c>
      <c r="M134" s="5">
        <f>VLOOKUP(G134,全部!C:V,20,FALSE)*100</f>
        <v>3</v>
      </c>
      <c r="N134" s="6">
        <f>VLOOKUP(G134,全部!C:W,21,FALSE)</f>
        <v>292599.62459999998</v>
      </c>
      <c r="O134" s="4">
        <f>VLOOKUP(G134,全部!C:X,22,FALSE)</f>
        <v>271590.55</v>
      </c>
      <c r="P134" s="4">
        <f>VLOOKUP(G134,全部!C:Y,23,FALSE)</f>
        <v>271590.55</v>
      </c>
      <c r="Q134" s="6">
        <f>VLOOKUP(G134,全部!C:Z,24,FALSE)</f>
        <v>21009.074599999993</v>
      </c>
      <c r="R134" s="7">
        <f>VLOOKUP(G134,全部!C:AA,25,FALSE)</f>
        <v>0</v>
      </c>
      <c r="S134" s="7">
        <f>VLOOKUP(G134,全部!C:AB,26,FALSE)</f>
        <v>0</v>
      </c>
      <c r="T134" s="4">
        <f>VLOOKUP(计算!G134,全部!C:AC,27,FALSE)</f>
        <v>4983610.42</v>
      </c>
      <c r="U134" s="4">
        <f>VLOOKUP(G134,全部!C:AD,28,FALSE)</f>
        <v>4983610.42</v>
      </c>
      <c r="V134" s="6">
        <f>VLOOKUP(G134,全部!C:AE,29,FALSE)</f>
        <v>0.51096549698034022</v>
      </c>
      <c r="W134" s="4">
        <f>VLOOKUP(G134,全部!C:AF,30,FALSE)</f>
        <v>0</v>
      </c>
      <c r="X134" s="4">
        <f>VLOOKUP(G134,全部!C:AG,31,FALSE)</f>
        <v>0</v>
      </c>
      <c r="Y134" s="4">
        <f>VLOOKUP(计算!G134,全部!C:AH,32,FALSE)</f>
        <v>4727621</v>
      </c>
      <c r="Z134" s="4">
        <f>VLOOKUP(G134,全部!C:AL,36,FALSE)</f>
        <v>4727621</v>
      </c>
      <c r="AA134" s="4">
        <f>VLOOKUP(G134,全部!C:AM,37,FALSE)</f>
        <v>3.4000000000000002E-2</v>
      </c>
      <c r="AB134" s="6">
        <f>VLOOKUP(G134,全部!C:AN,38,FALSE)</f>
        <v>331612.90788000001</v>
      </c>
      <c r="AC134" s="4">
        <f>VLOOKUP(G134,全部!C:AO,39,FALSE)</f>
        <v>169442.69</v>
      </c>
      <c r="AD134" s="4">
        <f>VLOOKUP(G134,全部!C:AP,40,FALSE)</f>
        <v>169442.69</v>
      </c>
      <c r="AE134" s="6">
        <f>VLOOKUP(G134,全部!C:AQ,41,FALSE)</f>
        <v>162170.21788000001</v>
      </c>
      <c r="AF134" s="4">
        <f>VLOOKUP(G134,全部!C:AR,42,FALSE)</f>
        <v>0</v>
      </c>
      <c r="AG134" s="7">
        <f>VLOOKUP(G134,全部!C:AS,43,FALSE)</f>
        <v>0</v>
      </c>
      <c r="AH134" s="64" t="str">
        <f>IF(VLOOKUP(G134,全部!C:AT,44,FALSE)=0,"",VLOOKUP(G134,全部!C:AT,44,FALSE))</f>
        <v/>
      </c>
      <c r="AI134">
        <v>0</v>
      </c>
      <c r="AJ134" s="3">
        <v>41912.6862384259</v>
      </c>
      <c r="AK134" s="2" t="s">
        <v>1927</v>
      </c>
    </row>
    <row r="135" spans="1:37" x14ac:dyDescent="0.15">
      <c r="A135" s="2" t="s">
        <v>1926</v>
      </c>
      <c r="B135">
        <v>183</v>
      </c>
      <c r="C135" s="3">
        <v>41609</v>
      </c>
      <c r="D135" s="2" t="s">
        <v>37</v>
      </c>
      <c r="E135" s="2" t="s">
        <v>1925</v>
      </c>
      <c r="F135" s="2" t="s">
        <v>41</v>
      </c>
      <c r="G135" s="2" t="s">
        <v>322</v>
      </c>
      <c r="H135" s="2" t="s">
        <v>323</v>
      </c>
      <c r="I135" s="4">
        <f>VLOOKUP(G135,全部!C:M,11,FALSE)</f>
        <v>1674815</v>
      </c>
      <c r="J135" s="4">
        <f t="shared" si="2"/>
        <v>0</v>
      </c>
      <c r="K135" s="4">
        <f>VLOOKUP(计算!G135,全部!C:N,12,FALSE)</f>
        <v>0</v>
      </c>
      <c r="L135" s="5">
        <f>VLOOKUP(G135,全部!C:P,14,FALSE)</f>
        <v>0</v>
      </c>
      <c r="M135" s="5">
        <f>VLOOKUP(G135,全部!C:V,20,FALSE)*100</f>
        <v>4</v>
      </c>
      <c r="N135" s="6">
        <f>VLOOKUP(G135,全部!C:W,21,FALSE)</f>
        <v>66992.600000000006</v>
      </c>
      <c r="O135" s="4">
        <f>VLOOKUP(G135,全部!C:X,22,FALSE)</f>
        <v>66993</v>
      </c>
      <c r="P135" s="4">
        <f>VLOOKUP(G135,全部!C:Y,23,FALSE)</f>
        <v>66993</v>
      </c>
      <c r="Q135" s="6">
        <f>VLOOKUP(G135,全部!C:Z,24,FALSE)</f>
        <v>-0.39999999999417923</v>
      </c>
      <c r="R135" s="7">
        <f>VLOOKUP(G135,全部!C:AA,25,FALSE)</f>
        <v>0</v>
      </c>
      <c r="S135" s="7">
        <f>VLOOKUP(G135,全部!C:AB,26,FALSE)</f>
        <v>0</v>
      </c>
      <c r="T135" s="4">
        <f>VLOOKUP(计算!G135,全部!C:AC,27,FALSE)</f>
        <v>1300000</v>
      </c>
      <c r="U135" s="4">
        <f>VLOOKUP(G135,全部!C:AD,28,FALSE)</f>
        <v>1300000</v>
      </c>
      <c r="V135" s="6">
        <f>VLOOKUP(G135,全部!C:AE,29,FALSE)</f>
        <v>0.77620513310425332</v>
      </c>
      <c r="W135" s="4">
        <f>VLOOKUP(G135,全部!C:AF,30,FALSE)</f>
        <v>0</v>
      </c>
      <c r="X135" s="4">
        <f>VLOOKUP(G135,全部!C:AG,31,FALSE)</f>
        <v>0</v>
      </c>
      <c r="Y135" s="4">
        <f>VLOOKUP(计算!G135,全部!C:AH,32,FALSE)</f>
        <v>1233232.5</v>
      </c>
      <c r="Z135" s="4">
        <f>VLOOKUP(G135,全部!C:AL,36,FALSE)</f>
        <v>1233232.5</v>
      </c>
      <c r="AA135" s="4">
        <f>VLOOKUP(G135,全部!C:AM,37,FALSE)</f>
        <v>3.6600000000000001E-2</v>
      </c>
      <c r="AB135" s="6">
        <f>VLOOKUP(G135,全部!C:AN,38,FALSE)</f>
        <v>61298.228999999999</v>
      </c>
      <c r="AC135" s="4">
        <f>VLOOKUP(G135,全部!C:AO,39,FALSE)</f>
        <v>61298.23</v>
      </c>
      <c r="AD135" s="4">
        <f>VLOOKUP(G135,全部!C:AP,40,FALSE)</f>
        <v>61298.23</v>
      </c>
      <c r="AE135" s="6">
        <f>VLOOKUP(G135,全部!C:AQ,41,FALSE)</f>
        <v>-1.0000000038417056E-3</v>
      </c>
      <c r="AF135" s="4">
        <f>VLOOKUP(G135,全部!C:AR,42,FALSE)</f>
        <v>0</v>
      </c>
      <c r="AG135" s="7">
        <f>VLOOKUP(G135,全部!C:AS,43,FALSE)</f>
        <v>0</v>
      </c>
      <c r="AH135" s="64" t="str">
        <f>IF(VLOOKUP(G135,全部!C:AT,44,FALSE)=0,"",VLOOKUP(G135,全部!C:AT,44,FALSE))</f>
        <v/>
      </c>
      <c r="AI135">
        <v>0</v>
      </c>
      <c r="AJ135" s="3">
        <v>41912.6862384259</v>
      </c>
      <c r="AK135" s="2" t="s">
        <v>1924</v>
      </c>
    </row>
    <row r="136" spans="1:37" x14ac:dyDescent="0.15">
      <c r="A136" s="2" t="s">
        <v>1923</v>
      </c>
      <c r="B136">
        <v>197</v>
      </c>
      <c r="C136" s="3">
        <v>41609</v>
      </c>
      <c r="D136" s="2" t="s">
        <v>37</v>
      </c>
      <c r="E136" s="2" t="s">
        <v>1922</v>
      </c>
      <c r="F136" s="2" t="s">
        <v>41</v>
      </c>
      <c r="G136" s="2" t="s">
        <v>320</v>
      </c>
      <c r="H136" s="2" t="s">
        <v>321</v>
      </c>
      <c r="I136" s="4">
        <f>VLOOKUP(G136,全部!C:M,11,FALSE)</f>
        <v>3480350</v>
      </c>
      <c r="J136" s="4">
        <f t="shared" si="2"/>
        <v>0</v>
      </c>
      <c r="K136" s="4">
        <f>VLOOKUP(计算!G136,全部!C:N,12,FALSE)</f>
        <v>0</v>
      </c>
      <c r="L136" s="5">
        <f>VLOOKUP(G136,全部!C:P,14,FALSE)</f>
        <v>0</v>
      </c>
      <c r="M136" s="5">
        <f>VLOOKUP(G136,全部!C:V,20,FALSE)*100</f>
        <v>3.5999999999999996</v>
      </c>
      <c r="N136" s="6">
        <f>VLOOKUP(G136,全部!C:W,21,FALSE)</f>
        <v>125292.59999999999</v>
      </c>
      <c r="O136" s="4">
        <f>VLOOKUP(G136,全部!C:X,22,FALSE)</f>
        <v>125292.6</v>
      </c>
      <c r="P136" s="4">
        <f>VLOOKUP(G136,全部!C:Y,23,FALSE)</f>
        <v>125292.6</v>
      </c>
      <c r="Q136" s="6">
        <f>VLOOKUP(G136,全部!C:Z,24,FALSE)</f>
        <v>0</v>
      </c>
      <c r="R136" s="7">
        <f>VLOOKUP(G136,全部!C:AA,25,FALSE)</f>
        <v>0</v>
      </c>
      <c r="S136" s="7">
        <f>VLOOKUP(G136,全部!C:AB,26,FALSE)</f>
        <v>0</v>
      </c>
      <c r="T136" s="4">
        <f>VLOOKUP(计算!G136,全部!C:AC,27,FALSE)</f>
        <v>1563875.12</v>
      </c>
      <c r="U136" s="4">
        <f>VLOOKUP(G136,全部!C:AD,28,FALSE)</f>
        <v>1563875.12</v>
      </c>
      <c r="V136" s="6">
        <f>VLOOKUP(G136,全部!C:AE,29,FALSE)</f>
        <v>0.44934420963408855</v>
      </c>
      <c r="W136" s="4">
        <f>VLOOKUP(G136,全部!C:AF,30,FALSE)</f>
        <v>0</v>
      </c>
      <c r="X136" s="4">
        <f>VLOOKUP(G136,全部!C:AG,31,FALSE)</f>
        <v>0</v>
      </c>
      <c r="Y136" s="4">
        <f>VLOOKUP(计算!G136,全部!C:AH,32,FALSE)</f>
        <v>1596613.91</v>
      </c>
      <c r="Z136" s="4">
        <f>VLOOKUP(G136,全部!C:AL,36,FALSE)</f>
        <v>1596613.91</v>
      </c>
      <c r="AA136" s="4">
        <f>VLOOKUP(G136,全部!C:AM,37,FALSE)</f>
        <v>3.4000000000000002E-2</v>
      </c>
      <c r="AB136" s="6">
        <f>VLOOKUP(G136,全部!C:AN,38,FALSE)</f>
        <v>118331.90000000001</v>
      </c>
      <c r="AC136" s="4">
        <f>VLOOKUP(G136,全部!C:AO,39,FALSE)</f>
        <v>51187.45</v>
      </c>
      <c r="AD136" s="4">
        <f>VLOOKUP(G136,全部!C:AP,40,FALSE)</f>
        <v>51187.45</v>
      </c>
      <c r="AE136" s="6">
        <f>VLOOKUP(G136,全部!C:AQ,41,FALSE)</f>
        <v>67144.450000000012</v>
      </c>
      <c r="AF136" s="4">
        <f>VLOOKUP(G136,全部!C:AR,42,FALSE)</f>
        <v>0</v>
      </c>
      <c r="AG136" s="7">
        <f>VLOOKUP(G136,全部!C:AS,43,FALSE)</f>
        <v>0</v>
      </c>
      <c r="AH136" s="64" t="str">
        <f>IF(VLOOKUP(G136,全部!C:AT,44,FALSE)=0,"",VLOOKUP(G136,全部!C:AT,44,FALSE))</f>
        <v/>
      </c>
      <c r="AI136">
        <v>0</v>
      </c>
      <c r="AJ136" s="3">
        <v>41912.6862384259</v>
      </c>
      <c r="AK136" s="2" t="s">
        <v>1921</v>
      </c>
    </row>
    <row r="137" spans="1:37" x14ac:dyDescent="0.15">
      <c r="A137" s="2" t="s">
        <v>1920</v>
      </c>
      <c r="B137">
        <v>1043</v>
      </c>
      <c r="C137" s="3">
        <v>41609</v>
      </c>
      <c r="D137" s="2" t="s">
        <v>37</v>
      </c>
      <c r="E137" s="2" t="s">
        <v>1919</v>
      </c>
      <c r="F137" s="2" t="s">
        <v>38</v>
      </c>
      <c r="G137" s="2" t="s">
        <v>312</v>
      </c>
      <c r="H137" s="2" t="s">
        <v>313</v>
      </c>
      <c r="I137" s="4">
        <f>VLOOKUP(G137,全部!C:M,11,FALSE)</f>
        <v>11000000</v>
      </c>
      <c r="J137" s="4">
        <f t="shared" si="2"/>
        <v>0</v>
      </c>
      <c r="K137" s="4">
        <f>VLOOKUP(计算!G137,全部!C:N,12,FALSE)</f>
        <v>0</v>
      </c>
      <c r="L137" s="5">
        <f>VLOOKUP(G137,全部!C:P,14,FALSE)</f>
        <v>0</v>
      </c>
      <c r="M137" s="5">
        <f>VLOOKUP(G137,全部!C:V,20,FALSE)*100</f>
        <v>3</v>
      </c>
      <c r="N137" s="6">
        <f>VLOOKUP(G137,全部!C:W,21,FALSE)</f>
        <v>330000</v>
      </c>
      <c r="O137" s="4">
        <f>VLOOKUP(G137,全部!C:X,22,FALSE)</f>
        <v>330000</v>
      </c>
      <c r="P137" s="4">
        <f>VLOOKUP(G137,全部!C:Y,23,FALSE)</f>
        <v>330000</v>
      </c>
      <c r="Q137" s="6">
        <f>VLOOKUP(G137,全部!C:Z,24,FALSE)</f>
        <v>0</v>
      </c>
      <c r="R137" s="7">
        <f>VLOOKUP(G137,全部!C:AA,25,FALSE)</f>
        <v>5500000</v>
      </c>
      <c r="S137" s="7">
        <f>VLOOKUP(G137,全部!C:AB,26,FALSE)</f>
        <v>5500000</v>
      </c>
      <c r="T137" s="4">
        <f>VLOOKUP(计算!G137,全部!C:AC,27,FALSE)</f>
        <v>5000000</v>
      </c>
      <c r="U137" s="4">
        <f>VLOOKUP(G137,全部!C:AD,28,FALSE)</f>
        <v>5000000</v>
      </c>
      <c r="V137" s="6">
        <f>VLOOKUP(G137,全部!C:AE,29,FALSE)</f>
        <v>0.45454545454545453</v>
      </c>
      <c r="W137" s="4">
        <f>VLOOKUP(G137,全部!C:AF,30,FALSE)</f>
        <v>4680000</v>
      </c>
      <c r="X137" s="4">
        <f>VLOOKUP(G137,全部!C:AG,31,FALSE)</f>
        <v>4680000</v>
      </c>
      <c r="Y137" s="4">
        <f>VLOOKUP(计算!G137,全部!C:AH,32,FALSE)</f>
        <v>4916450</v>
      </c>
      <c r="Z137" s="4">
        <f>VLOOKUP(G137,全部!C:AL,36,FALSE)</f>
        <v>4916450</v>
      </c>
      <c r="AA137" s="4">
        <f>VLOOKUP(G137,全部!C:AM,37,FALSE)</f>
        <v>0</v>
      </c>
      <c r="AB137" s="6">
        <f>VLOOKUP(G137,全部!C:AN,38,FALSE)</f>
        <v>0</v>
      </c>
      <c r="AC137" s="4">
        <f>VLOOKUP(G137,全部!C:AO,39,FALSE)</f>
        <v>0</v>
      </c>
      <c r="AD137" s="4">
        <f>VLOOKUP(G137,全部!C:AP,40,FALSE)</f>
        <v>0</v>
      </c>
      <c r="AE137" s="6">
        <f>VLOOKUP(G137,全部!C:AQ,41,FALSE)</f>
        <v>0</v>
      </c>
      <c r="AF137" s="4">
        <f>VLOOKUP(G137,全部!C:AR,42,FALSE)</f>
        <v>0</v>
      </c>
      <c r="AG137" s="7">
        <f>VLOOKUP(G137,全部!C:AS,43,FALSE)</f>
        <v>120</v>
      </c>
      <c r="AH137" s="64" t="str">
        <f>IF(VLOOKUP(G137,全部!C:AT,44,FALSE)=0,"",VLOOKUP(G137,全部!C:AT,44,FALSE))</f>
        <v>昌平</v>
      </c>
      <c r="AI137">
        <v>0</v>
      </c>
      <c r="AJ137" s="3">
        <v>41912.6862847222</v>
      </c>
      <c r="AK137" s="2" t="s">
        <v>1918</v>
      </c>
    </row>
    <row r="138" spans="1:37" x14ac:dyDescent="0.15">
      <c r="A138" s="2" t="s">
        <v>1917</v>
      </c>
      <c r="B138">
        <v>211</v>
      </c>
      <c r="C138" s="3">
        <v>41609</v>
      </c>
      <c r="D138" s="2" t="s">
        <v>37</v>
      </c>
      <c r="E138" s="2" t="s">
        <v>1916</v>
      </c>
      <c r="F138" s="2" t="s">
        <v>41</v>
      </c>
      <c r="G138" s="2" t="s">
        <v>326</v>
      </c>
      <c r="H138" s="2" t="s">
        <v>327</v>
      </c>
      <c r="I138" s="4">
        <f>VLOOKUP(G138,全部!C:M,11,FALSE)</f>
        <v>600000</v>
      </c>
      <c r="J138" s="4">
        <f t="shared" si="2"/>
        <v>0</v>
      </c>
      <c r="K138" s="4">
        <f>VLOOKUP(计算!G138,全部!C:N,12,FALSE)</f>
        <v>0</v>
      </c>
      <c r="L138" s="5">
        <f>VLOOKUP(G138,全部!C:P,14,FALSE)</f>
        <v>0</v>
      </c>
      <c r="M138" s="5">
        <f>VLOOKUP(G138,全部!C:V,20,FALSE)*100</f>
        <v>8.6</v>
      </c>
      <c r="N138" s="6">
        <f>VLOOKUP(G138,全部!C:W,21,FALSE)</f>
        <v>51599.999999999993</v>
      </c>
      <c r="O138" s="4">
        <f>VLOOKUP(G138,全部!C:X,22,FALSE)</f>
        <v>25800</v>
      </c>
      <c r="P138" s="4">
        <f>VLOOKUP(G138,全部!C:Y,23,FALSE)</f>
        <v>25800</v>
      </c>
      <c r="Q138" s="6">
        <f>VLOOKUP(G138,全部!C:Z,24,FALSE)</f>
        <v>25799.999999999993</v>
      </c>
      <c r="R138" s="7">
        <f>VLOOKUP(G138,全部!C:AA,25,FALSE)</f>
        <v>0</v>
      </c>
      <c r="S138" s="7">
        <f>VLOOKUP(G138,全部!C:AB,26,FALSE)</f>
        <v>0</v>
      </c>
      <c r="T138" s="4">
        <f>VLOOKUP(计算!G138,全部!C:AC,27,FALSE)</f>
        <v>120000</v>
      </c>
      <c r="U138" s="4">
        <f>VLOOKUP(G138,全部!C:AD,28,FALSE)</f>
        <v>120000</v>
      </c>
      <c r="V138" s="6">
        <f>VLOOKUP(G138,全部!C:AE,29,FALSE)</f>
        <v>0.2</v>
      </c>
      <c r="W138" s="4">
        <f>VLOOKUP(G138,全部!C:AF,30,FALSE)</f>
        <v>0</v>
      </c>
      <c r="X138" s="4">
        <f>VLOOKUP(G138,全部!C:AG,31,FALSE)</f>
        <v>0</v>
      </c>
      <c r="Y138" s="4">
        <f>VLOOKUP(计算!G138,全部!C:AH,32,FALSE)</f>
        <v>120000</v>
      </c>
      <c r="Z138" s="4">
        <f>VLOOKUP(G138,全部!C:AL,36,FALSE)</f>
        <v>120000</v>
      </c>
      <c r="AA138" s="4">
        <f>VLOOKUP(G138,全部!C:AM,37,FALSE)</f>
        <v>3.4000000000000002E-2</v>
      </c>
      <c r="AB138" s="6">
        <f>VLOOKUP(G138,全部!C:AN,38,FALSE)</f>
        <v>20400</v>
      </c>
      <c r="AC138" s="4">
        <f>VLOOKUP(G138,全部!C:AO,39,FALSE)</f>
        <v>4080</v>
      </c>
      <c r="AD138" s="4">
        <f>VLOOKUP(G138,全部!C:AP,40,FALSE)</f>
        <v>4080</v>
      </c>
      <c r="AE138" s="6">
        <f>VLOOKUP(G138,全部!C:AQ,41,FALSE)</f>
        <v>16320</v>
      </c>
      <c r="AF138" s="4">
        <f>VLOOKUP(G138,全部!C:AR,42,FALSE)</f>
        <v>0</v>
      </c>
      <c r="AG138" s="7">
        <f>VLOOKUP(G138,全部!C:AS,43,FALSE)</f>
        <v>0</v>
      </c>
      <c r="AH138" s="64" t="str">
        <f>IF(VLOOKUP(G138,全部!C:AT,44,FALSE)=0,"",VLOOKUP(G138,全部!C:AT,44,FALSE))</f>
        <v/>
      </c>
      <c r="AI138">
        <v>0</v>
      </c>
      <c r="AJ138" s="3">
        <v>41912.6862384259</v>
      </c>
      <c r="AK138" s="2" t="s">
        <v>1915</v>
      </c>
    </row>
    <row r="139" spans="1:37" x14ac:dyDescent="0.15">
      <c r="A139" s="2" t="s">
        <v>1914</v>
      </c>
      <c r="B139">
        <v>173</v>
      </c>
      <c r="C139" s="3">
        <v>41609</v>
      </c>
      <c r="D139" s="2" t="s">
        <v>37</v>
      </c>
      <c r="E139" s="2" t="s">
        <v>1913</v>
      </c>
      <c r="F139" s="2" t="s">
        <v>41</v>
      </c>
      <c r="G139" s="2" t="s">
        <v>330</v>
      </c>
      <c r="H139" s="2" t="s">
        <v>331</v>
      </c>
      <c r="I139" s="4">
        <f>VLOOKUP(G139,全部!C:M,11,FALSE)</f>
        <v>4036583.48</v>
      </c>
      <c r="J139" s="4">
        <f t="shared" si="2"/>
        <v>0</v>
      </c>
      <c r="K139" s="4">
        <f>VLOOKUP(计算!G139,全部!C:N,12,FALSE)</f>
        <v>0</v>
      </c>
      <c r="L139" s="5">
        <f>VLOOKUP(G139,全部!C:P,14,FALSE)</f>
        <v>0</v>
      </c>
      <c r="M139" s="5">
        <f>VLOOKUP(G139,全部!C:V,20,FALSE)*100</f>
        <v>3.5999999999999996</v>
      </c>
      <c r="N139" s="6">
        <f>VLOOKUP(G139,全部!C:W,21,FALSE)</f>
        <v>145317.00527999998</v>
      </c>
      <c r="O139" s="4">
        <f>VLOOKUP(G139,全部!C:X,22,FALSE)</f>
        <v>145317</v>
      </c>
      <c r="P139" s="4">
        <f>VLOOKUP(G139,全部!C:Y,23,FALSE)</f>
        <v>145317</v>
      </c>
      <c r="Q139" s="6">
        <f>VLOOKUP(G139,全部!C:Z,24,FALSE)</f>
        <v>5.2799999830313027E-3</v>
      </c>
      <c r="R139" s="7">
        <f>VLOOKUP(G139,全部!C:AA,25,FALSE)</f>
        <v>0</v>
      </c>
      <c r="S139" s="7">
        <f>VLOOKUP(G139,全部!C:AB,26,FALSE)</f>
        <v>0</v>
      </c>
      <c r="T139" s="4">
        <f>VLOOKUP(计算!G139,全部!C:AC,27,FALSE)</f>
        <v>3478419.92</v>
      </c>
      <c r="U139" s="4">
        <f>VLOOKUP(G139,全部!C:AD,28,FALSE)</f>
        <v>3478419.92</v>
      </c>
      <c r="V139" s="6">
        <f>VLOOKUP(G139,全部!C:AE,29,FALSE)</f>
        <v>0.86172376645608229</v>
      </c>
      <c r="W139" s="4">
        <f>VLOOKUP(G139,全部!C:AF,30,FALSE)</f>
        <v>0</v>
      </c>
      <c r="X139" s="4">
        <f>VLOOKUP(G139,全部!C:AG,31,FALSE)</f>
        <v>0</v>
      </c>
      <c r="Y139" s="4">
        <f>VLOOKUP(计算!G139,全部!C:AH,32,FALSE)</f>
        <v>3359296.75</v>
      </c>
      <c r="Z139" s="4">
        <f>VLOOKUP(G139,全部!C:AL,36,FALSE)</f>
        <v>3359296.75</v>
      </c>
      <c r="AA139" s="4">
        <f>VLOOKUP(G139,全部!C:AM,37,FALSE)</f>
        <v>3.4000000000000002E-2</v>
      </c>
      <c r="AB139" s="6">
        <f>VLOOKUP(G139,全部!C:AN,38,FALSE)</f>
        <v>137243.83832000001</v>
      </c>
      <c r="AC139" s="4">
        <f>VLOOKUP(G139,全部!C:AO,39,FALSE)</f>
        <v>118235.4</v>
      </c>
      <c r="AD139" s="4">
        <f>VLOOKUP(G139,全部!C:AP,40,FALSE)</f>
        <v>118235.4</v>
      </c>
      <c r="AE139" s="6">
        <f>VLOOKUP(G139,全部!C:AQ,41,FALSE)</f>
        <v>19008.438320000016</v>
      </c>
      <c r="AF139" s="4">
        <f>VLOOKUP(G139,全部!C:AR,42,FALSE)</f>
        <v>0</v>
      </c>
      <c r="AG139" s="7">
        <f>VLOOKUP(G139,全部!C:AS,43,FALSE)</f>
        <v>0</v>
      </c>
      <c r="AH139" s="64" t="str">
        <f>IF(VLOOKUP(G139,全部!C:AT,44,FALSE)=0,"",VLOOKUP(G139,全部!C:AT,44,FALSE))</f>
        <v/>
      </c>
      <c r="AI139">
        <v>0</v>
      </c>
      <c r="AJ139" s="3">
        <v>41912.6862384259</v>
      </c>
      <c r="AK139" s="2" t="s">
        <v>1912</v>
      </c>
    </row>
    <row r="140" spans="1:37" x14ac:dyDescent="0.15">
      <c r="A140" s="2" t="s">
        <v>1911</v>
      </c>
      <c r="B140">
        <v>161</v>
      </c>
      <c r="C140" s="3">
        <v>41609</v>
      </c>
      <c r="D140" s="2" t="s">
        <v>37</v>
      </c>
      <c r="E140" s="2" t="s">
        <v>1910</v>
      </c>
      <c r="F140" s="2" t="s">
        <v>41</v>
      </c>
      <c r="G140" s="2" t="s">
        <v>328</v>
      </c>
      <c r="H140" s="2" t="s">
        <v>329</v>
      </c>
      <c r="I140" s="4">
        <f>VLOOKUP(G140,全部!C:M,11,FALSE)</f>
        <v>449812</v>
      </c>
      <c r="J140" s="4">
        <f t="shared" si="2"/>
        <v>0</v>
      </c>
      <c r="K140" s="4">
        <f>VLOOKUP(计算!G140,全部!C:N,12,FALSE)</f>
        <v>0</v>
      </c>
      <c r="L140" s="5">
        <f>VLOOKUP(G140,全部!C:P,14,FALSE)</f>
        <v>0</v>
      </c>
      <c r="M140" s="5">
        <f>VLOOKUP(G140,全部!C:V,20,FALSE)*100</f>
        <v>4</v>
      </c>
      <c r="N140" s="6">
        <f>VLOOKUP(G140,全部!C:W,21,FALSE)</f>
        <v>17992.48</v>
      </c>
      <c r="O140" s="4">
        <f>VLOOKUP(G140,全部!C:X,22,FALSE)</f>
        <v>17992.48</v>
      </c>
      <c r="P140" s="4">
        <f>VLOOKUP(G140,全部!C:Y,23,FALSE)</f>
        <v>17992.48</v>
      </c>
      <c r="Q140" s="6">
        <f>VLOOKUP(G140,全部!C:Z,24,FALSE)</f>
        <v>0</v>
      </c>
      <c r="R140" s="7">
        <f>VLOOKUP(G140,全部!C:AA,25,FALSE)</f>
        <v>0</v>
      </c>
      <c r="S140" s="7">
        <f>VLOOKUP(G140,全部!C:AB,26,FALSE)</f>
        <v>0</v>
      </c>
      <c r="T140" s="4">
        <f>VLOOKUP(计算!G140,全部!C:AC,27,FALSE)</f>
        <v>370600</v>
      </c>
      <c r="U140" s="4">
        <f>VLOOKUP(G140,全部!C:AD,28,FALSE)</f>
        <v>370600</v>
      </c>
      <c r="V140" s="6">
        <f>VLOOKUP(G140,全部!C:AE,29,FALSE)</f>
        <v>0.82389976256747266</v>
      </c>
      <c r="W140" s="4">
        <f>VLOOKUP(G140,全部!C:AF,30,FALSE)</f>
        <v>0</v>
      </c>
      <c r="X140" s="4">
        <f>VLOOKUP(G140,全部!C:AG,31,FALSE)</f>
        <v>0</v>
      </c>
      <c r="Y140" s="4">
        <f>VLOOKUP(计算!G140,全部!C:AH,32,FALSE)</f>
        <v>365664.6</v>
      </c>
      <c r="Z140" s="4">
        <f>VLOOKUP(G140,全部!C:AL,36,FALSE)</f>
        <v>365664.6</v>
      </c>
      <c r="AA140" s="4">
        <f>VLOOKUP(G140,全部!C:AM,37,FALSE)</f>
        <v>3.4000000000000002E-2</v>
      </c>
      <c r="AB140" s="6">
        <f>VLOOKUP(G140,全部!C:AN,38,FALSE)</f>
        <v>15293.608000000002</v>
      </c>
      <c r="AC140" s="4">
        <f>VLOOKUP(G140,全部!C:AO,39,FALSE)</f>
        <v>12580</v>
      </c>
      <c r="AD140" s="4">
        <f>VLOOKUP(G140,全部!C:AP,40,FALSE)</f>
        <v>12580</v>
      </c>
      <c r="AE140" s="6">
        <f>VLOOKUP(G140,全部!C:AQ,41,FALSE)</f>
        <v>2713.608000000002</v>
      </c>
      <c r="AF140" s="4">
        <f>VLOOKUP(G140,全部!C:AR,42,FALSE)</f>
        <v>0</v>
      </c>
      <c r="AG140" s="7">
        <f>VLOOKUP(G140,全部!C:AS,43,FALSE)</f>
        <v>0</v>
      </c>
      <c r="AH140" s="64" t="str">
        <f>IF(VLOOKUP(G140,全部!C:AT,44,FALSE)=0,"",VLOOKUP(G140,全部!C:AT,44,FALSE))</f>
        <v/>
      </c>
      <c r="AI140">
        <v>0</v>
      </c>
      <c r="AJ140" s="3">
        <v>41912.6862384259</v>
      </c>
      <c r="AK140" s="2" t="s">
        <v>1909</v>
      </c>
    </row>
    <row r="141" spans="1:37" x14ac:dyDescent="0.15">
      <c r="A141" s="2" t="s">
        <v>1908</v>
      </c>
      <c r="B141">
        <v>187</v>
      </c>
      <c r="C141" s="3">
        <v>41609</v>
      </c>
      <c r="D141" s="2" t="s">
        <v>37</v>
      </c>
      <c r="E141" s="2" t="s">
        <v>1907</v>
      </c>
      <c r="F141" s="2" t="s">
        <v>41</v>
      </c>
      <c r="G141" s="2" t="s">
        <v>334</v>
      </c>
      <c r="H141" s="2" t="s">
        <v>335</v>
      </c>
      <c r="I141" s="4">
        <f>VLOOKUP(G141,全部!C:M,11,FALSE)</f>
        <v>260000</v>
      </c>
      <c r="J141" s="4">
        <f t="shared" si="2"/>
        <v>0</v>
      </c>
      <c r="K141" s="4">
        <f>VLOOKUP(计算!G141,全部!C:N,12,FALSE)</f>
        <v>0</v>
      </c>
      <c r="L141" s="5">
        <f>VLOOKUP(G141,全部!C:P,14,FALSE)</f>
        <v>0</v>
      </c>
      <c r="M141" s="5">
        <f>VLOOKUP(G141,全部!C:V,20,FALSE)*100</f>
        <v>8.6</v>
      </c>
      <c r="N141" s="6">
        <f>VLOOKUP(G141,全部!C:W,21,FALSE)</f>
        <v>22360</v>
      </c>
      <c r="O141" s="4">
        <f>VLOOKUP(G141,全部!C:X,22,FALSE)</f>
        <v>22360</v>
      </c>
      <c r="P141" s="4">
        <f>VLOOKUP(G141,全部!C:Y,23,FALSE)</f>
        <v>22360</v>
      </c>
      <c r="Q141" s="6">
        <f>VLOOKUP(G141,全部!C:Z,24,FALSE)</f>
        <v>0</v>
      </c>
      <c r="R141" s="7">
        <f>VLOOKUP(G141,全部!C:AA,25,FALSE)</f>
        <v>0</v>
      </c>
      <c r="S141" s="7">
        <f>VLOOKUP(G141,全部!C:AB,26,FALSE)</f>
        <v>0</v>
      </c>
      <c r="T141" s="4">
        <f>VLOOKUP(计算!G141,全部!C:AC,27,FALSE)</f>
        <v>182000</v>
      </c>
      <c r="U141" s="4">
        <f>VLOOKUP(G141,全部!C:AD,28,FALSE)</f>
        <v>182000</v>
      </c>
      <c r="V141" s="6">
        <f>VLOOKUP(G141,全部!C:AE,29,FALSE)</f>
        <v>0.7</v>
      </c>
      <c r="W141" s="4">
        <f>VLOOKUP(G141,全部!C:AF,30,FALSE)</f>
        <v>0</v>
      </c>
      <c r="X141" s="4">
        <f>VLOOKUP(G141,全部!C:AG,31,FALSE)</f>
        <v>0</v>
      </c>
      <c r="Y141" s="4">
        <f>VLOOKUP(计算!G141,全部!C:AH,32,FALSE)</f>
        <v>182000</v>
      </c>
      <c r="Z141" s="4">
        <f>VLOOKUP(G141,全部!C:AL,36,FALSE)</f>
        <v>182000</v>
      </c>
      <c r="AA141" s="4">
        <f>VLOOKUP(G141,全部!C:AM,37,FALSE)</f>
        <v>3.4000000000000002E-2</v>
      </c>
      <c r="AB141" s="6">
        <f>VLOOKUP(G141,全部!C:AN,38,FALSE)</f>
        <v>8840</v>
      </c>
      <c r="AC141" s="4">
        <f>VLOOKUP(G141,全部!C:AO,39,FALSE)</f>
        <v>0</v>
      </c>
      <c r="AD141" s="4">
        <f>VLOOKUP(G141,全部!C:AP,40,FALSE)</f>
        <v>0</v>
      </c>
      <c r="AE141" s="6">
        <f>VLOOKUP(G141,全部!C:AQ,41,FALSE)</f>
        <v>8840</v>
      </c>
      <c r="AF141" s="4">
        <f>VLOOKUP(G141,全部!C:AR,42,FALSE)</f>
        <v>0</v>
      </c>
      <c r="AG141" s="7">
        <f>VLOOKUP(G141,全部!C:AS,43,FALSE)</f>
        <v>0</v>
      </c>
      <c r="AH141" s="64" t="str">
        <f>IF(VLOOKUP(G141,全部!C:AT,44,FALSE)=0,"",VLOOKUP(G141,全部!C:AT,44,FALSE))</f>
        <v/>
      </c>
      <c r="AI141">
        <v>0</v>
      </c>
      <c r="AJ141" s="3">
        <v>41912.6862384259</v>
      </c>
      <c r="AK141" s="2" t="s">
        <v>1906</v>
      </c>
    </row>
    <row r="142" spans="1:37" x14ac:dyDescent="0.15">
      <c r="A142" s="2" t="s">
        <v>1905</v>
      </c>
      <c r="B142">
        <v>202</v>
      </c>
      <c r="C142" s="3">
        <v>41609</v>
      </c>
      <c r="D142" s="2" t="s">
        <v>37</v>
      </c>
      <c r="E142" s="2" t="s">
        <v>1904</v>
      </c>
      <c r="F142" s="2" t="s">
        <v>41</v>
      </c>
      <c r="G142" s="2" t="s">
        <v>332</v>
      </c>
      <c r="H142" s="2" t="s">
        <v>333</v>
      </c>
      <c r="I142" s="4">
        <f>VLOOKUP(G142,全部!C:M,11,FALSE)</f>
        <v>50000</v>
      </c>
      <c r="J142" s="4">
        <f t="shared" si="2"/>
        <v>0</v>
      </c>
      <c r="K142" s="4">
        <f>VLOOKUP(计算!G142,全部!C:N,12,FALSE)</f>
        <v>0</v>
      </c>
      <c r="L142" s="5">
        <f>VLOOKUP(G142,全部!C:P,14,FALSE)</f>
        <v>0</v>
      </c>
      <c r="M142" s="5">
        <f>VLOOKUP(G142,全部!C:V,20,FALSE)*100</f>
        <v>8.6</v>
      </c>
      <c r="N142" s="6">
        <f>VLOOKUP(G142,全部!C:W,21,FALSE)</f>
        <v>4300</v>
      </c>
      <c r="O142" s="4">
        <f>VLOOKUP(G142,全部!C:X,22,FALSE)</f>
        <v>4300</v>
      </c>
      <c r="P142" s="4">
        <f>VLOOKUP(G142,全部!C:Y,23,FALSE)</f>
        <v>4300</v>
      </c>
      <c r="Q142" s="6">
        <f>VLOOKUP(G142,全部!C:Z,24,FALSE)</f>
        <v>0</v>
      </c>
      <c r="R142" s="7">
        <f>VLOOKUP(G142,全部!C:AA,25,FALSE)</f>
        <v>0</v>
      </c>
      <c r="S142" s="7">
        <f>VLOOKUP(G142,全部!C:AB,26,FALSE)</f>
        <v>0</v>
      </c>
      <c r="T142" s="4">
        <f>VLOOKUP(计算!G142,全部!C:AC,27,FALSE)</f>
        <v>40000</v>
      </c>
      <c r="U142" s="4">
        <f>VLOOKUP(G142,全部!C:AD,28,FALSE)</f>
        <v>40000</v>
      </c>
      <c r="V142" s="6">
        <f>VLOOKUP(G142,全部!C:AE,29,FALSE)</f>
        <v>0.8</v>
      </c>
      <c r="W142" s="4">
        <f>VLOOKUP(G142,全部!C:AF,30,FALSE)</f>
        <v>0</v>
      </c>
      <c r="X142" s="4">
        <f>VLOOKUP(G142,全部!C:AG,31,FALSE)</f>
        <v>0</v>
      </c>
      <c r="Y142" s="4">
        <f>VLOOKUP(计算!G142,全部!C:AH,32,FALSE)</f>
        <v>40000</v>
      </c>
      <c r="Z142" s="4">
        <f>VLOOKUP(G142,全部!C:AL,36,FALSE)</f>
        <v>40000</v>
      </c>
      <c r="AA142" s="4">
        <f>VLOOKUP(G142,全部!C:AM,37,FALSE)</f>
        <v>3.4000000000000002E-2</v>
      </c>
      <c r="AB142" s="6">
        <f>VLOOKUP(G142,全部!C:AN,38,FALSE)</f>
        <v>1700.0000000000002</v>
      </c>
      <c r="AC142" s="4">
        <f>VLOOKUP(G142,全部!C:AO,39,FALSE)</f>
        <v>1360</v>
      </c>
      <c r="AD142" s="4">
        <f>VLOOKUP(G142,全部!C:AP,40,FALSE)</f>
        <v>1360</v>
      </c>
      <c r="AE142" s="6">
        <f>VLOOKUP(G142,全部!C:AQ,41,FALSE)</f>
        <v>340.00000000000023</v>
      </c>
      <c r="AF142" s="4">
        <f>VLOOKUP(G142,全部!C:AR,42,FALSE)</f>
        <v>0</v>
      </c>
      <c r="AG142" s="7">
        <f>VLOOKUP(G142,全部!C:AS,43,FALSE)</f>
        <v>0</v>
      </c>
      <c r="AH142" s="64" t="str">
        <f>IF(VLOOKUP(G142,全部!C:AT,44,FALSE)=0,"",VLOOKUP(G142,全部!C:AT,44,FALSE))</f>
        <v/>
      </c>
      <c r="AI142">
        <v>0</v>
      </c>
      <c r="AJ142" s="3">
        <v>41912.6862384259</v>
      </c>
      <c r="AK142" s="2" t="s">
        <v>1903</v>
      </c>
    </row>
    <row r="143" spans="1:37" x14ac:dyDescent="0.15">
      <c r="A143" s="2" t="s">
        <v>1902</v>
      </c>
      <c r="B143">
        <v>1052</v>
      </c>
      <c r="C143" s="3">
        <v>41609</v>
      </c>
      <c r="D143" s="2" t="s">
        <v>37</v>
      </c>
      <c r="E143" s="2" t="s">
        <v>1901</v>
      </c>
      <c r="F143" s="2" t="s">
        <v>38</v>
      </c>
      <c r="G143" s="2" t="s">
        <v>324</v>
      </c>
      <c r="H143" s="2" t="s">
        <v>325</v>
      </c>
      <c r="I143" s="4">
        <f>VLOOKUP(G143,全部!C:M,11,FALSE)</f>
        <v>924545</v>
      </c>
      <c r="J143" s="4">
        <f t="shared" si="2"/>
        <v>0</v>
      </c>
      <c r="K143" s="4">
        <f>VLOOKUP(计算!G143,全部!C:N,12,FALSE)</f>
        <v>0</v>
      </c>
      <c r="L143" s="5">
        <f>VLOOKUP(G143,全部!C:P,14,FALSE)</f>
        <v>0</v>
      </c>
      <c r="M143" s="5">
        <f>VLOOKUP(G143,全部!C:V,20,FALSE)*100</f>
        <v>3</v>
      </c>
      <c r="N143" s="6">
        <f>VLOOKUP(G143,全部!C:W,21,FALSE)</f>
        <v>27736.35</v>
      </c>
      <c r="O143" s="4">
        <f>VLOOKUP(G143,全部!C:X,22,FALSE)</f>
        <v>2200</v>
      </c>
      <c r="P143" s="4">
        <f>VLOOKUP(G143,全部!C:Y,23,FALSE)</f>
        <v>2200</v>
      </c>
      <c r="Q143" s="6">
        <f>VLOOKUP(G143,全部!C:Z,24,FALSE)</f>
        <v>25536.35</v>
      </c>
      <c r="R143" s="7">
        <f>VLOOKUP(G143,全部!C:AA,25,FALSE)</f>
        <v>300000</v>
      </c>
      <c r="S143" s="7">
        <f>VLOOKUP(G143,全部!C:AB,26,FALSE)</f>
        <v>300000</v>
      </c>
      <c r="T143" s="4">
        <f>VLOOKUP(计算!G143,全部!C:AC,27,FALSE)</f>
        <v>300000</v>
      </c>
      <c r="U143" s="4">
        <f>VLOOKUP(G143,全部!C:AD,28,FALSE)</f>
        <v>300000</v>
      </c>
      <c r="V143" s="6">
        <f>VLOOKUP(G143,全部!C:AE,29,FALSE)</f>
        <v>0.32448393534116782</v>
      </c>
      <c r="W143" s="4">
        <f>VLOOKUP(G143,全部!C:AF,30,FALSE)</f>
        <v>202490</v>
      </c>
      <c r="X143" s="4">
        <f>VLOOKUP(G143,全部!C:AG,31,FALSE)</f>
        <v>202490</v>
      </c>
      <c r="Y143" s="4">
        <f>VLOOKUP(计算!G143,全部!C:AH,32,FALSE)</f>
        <v>219322.49</v>
      </c>
      <c r="Z143" s="4">
        <f>VLOOKUP(G143,全部!C:AL,36,FALSE)</f>
        <v>221812.49</v>
      </c>
      <c r="AA143" s="4">
        <f>VLOOKUP(G143,全部!C:AM,37,FALSE)</f>
        <v>3.4000000000000002E-2</v>
      </c>
      <c r="AB143" s="6">
        <f>VLOOKUP(G143,全部!C:AN,38,FALSE)</f>
        <v>10200</v>
      </c>
      <c r="AC143" s="4">
        <f>VLOOKUP(G143,全部!C:AO,39,FALSE)</f>
        <v>10200</v>
      </c>
      <c r="AD143" s="4">
        <f>VLOOKUP(G143,全部!C:AP,40,FALSE)</f>
        <v>10200</v>
      </c>
      <c r="AE143" s="6">
        <f>VLOOKUP(G143,全部!C:AQ,41,FALSE)</f>
        <v>0</v>
      </c>
      <c r="AF143" s="4">
        <f>VLOOKUP(G143,全部!C:AR,42,FALSE)</f>
        <v>0</v>
      </c>
      <c r="AG143" s="7">
        <f>VLOOKUP(G143,全部!C:AS,43,FALSE)</f>
        <v>7</v>
      </c>
      <c r="AH143" s="64" t="str">
        <f>IF(VLOOKUP(G143,全部!C:AT,44,FALSE)=0,"",VLOOKUP(G143,全部!C:AT,44,FALSE))</f>
        <v>亦庄</v>
      </c>
      <c r="AI143">
        <v>0</v>
      </c>
      <c r="AJ143" s="3">
        <v>41912.6862847222</v>
      </c>
      <c r="AK143" s="2" t="s">
        <v>1900</v>
      </c>
    </row>
    <row r="144" spans="1:37" x14ac:dyDescent="0.15">
      <c r="A144" s="2" t="s">
        <v>1899</v>
      </c>
      <c r="B144">
        <v>166</v>
      </c>
      <c r="C144" s="3">
        <v>41609</v>
      </c>
      <c r="D144" s="2" t="s">
        <v>37</v>
      </c>
      <c r="E144" s="2" t="s">
        <v>1898</v>
      </c>
      <c r="F144" s="2" t="s">
        <v>41</v>
      </c>
      <c r="G144" s="2" t="s">
        <v>306</v>
      </c>
      <c r="H144" s="2" t="s">
        <v>307</v>
      </c>
      <c r="I144" s="4">
        <f>VLOOKUP(G144,全部!C:M,11,FALSE)</f>
        <v>1440423.32</v>
      </c>
      <c r="J144" s="4">
        <f t="shared" si="2"/>
        <v>0</v>
      </c>
      <c r="K144" s="4">
        <f>VLOOKUP(计算!G144,全部!C:N,12,FALSE)</f>
        <v>0</v>
      </c>
      <c r="L144" s="5">
        <f>VLOOKUP(G144,全部!C:P,14,FALSE)</f>
        <v>0</v>
      </c>
      <c r="M144" s="5">
        <f>VLOOKUP(G144,全部!C:V,20,FALSE)*100</f>
        <v>4</v>
      </c>
      <c r="N144" s="6">
        <f>VLOOKUP(G144,全部!C:W,21,FALSE)</f>
        <v>57616.932800000002</v>
      </c>
      <c r="O144" s="4">
        <f>VLOOKUP(G144,全部!C:X,22,FALSE)</f>
        <v>57617</v>
      </c>
      <c r="P144" s="4">
        <f>VLOOKUP(G144,全部!C:Y,23,FALSE)</f>
        <v>57617</v>
      </c>
      <c r="Q144" s="6">
        <f>VLOOKUP(G144,全部!C:Z,24,FALSE)</f>
        <v>-6.7199999997683335E-2</v>
      </c>
      <c r="R144" s="7">
        <f>VLOOKUP(G144,全部!C:AA,25,FALSE)</f>
        <v>0</v>
      </c>
      <c r="S144" s="7">
        <f>VLOOKUP(G144,全部!C:AB,26,FALSE)</f>
        <v>0</v>
      </c>
      <c r="T144" s="4">
        <f>VLOOKUP(计算!G144,全部!C:AC,27,FALSE)</f>
        <v>1200000</v>
      </c>
      <c r="U144" s="4">
        <f>VLOOKUP(G144,全部!C:AD,28,FALSE)</f>
        <v>1200000</v>
      </c>
      <c r="V144" s="6">
        <f>VLOOKUP(G144,全部!C:AE,29,FALSE)</f>
        <v>0.83308842847670639</v>
      </c>
      <c r="W144" s="4">
        <f>VLOOKUP(G144,全部!C:AF,30,FALSE)</f>
        <v>0</v>
      </c>
      <c r="X144" s="4">
        <f>VLOOKUP(G144,全部!C:AG,31,FALSE)</f>
        <v>0</v>
      </c>
      <c r="Y144" s="4">
        <f>VLOOKUP(计算!G144,全部!C:AH,32,FALSE)</f>
        <v>1145710</v>
      </c>
      <c r="Z144" s="4">
        <f>VLOOKUP(G144,全部!C:AL,36,FALSE)</f>
        <v>1145710</v>
      </c>
      <c r="AA144" s="4">
        <f>VLOOKUP(G144,全部!C:AM,37,FALSE)</f>
        <v>0</v>
      </c>
      <c r="AB144" s="6">
        <f>VLOOKUP(G144,全部!C:AN,38,FALSE)</f>
        <v>52719.49</v>
      </c>
      <c r="AC144" s="4">
        <f>VLOOKUP(G144,全部!C:AO,39,FALSE)</f>
        <v>52719.49</v>
      </c>
      <c r="AD144" s="4">
        <f>VLOOKUP(G144,全部!C:AP,40,FALSE)</f>
        <v>52719.49</v>
      </c>
      <c r="AE144" s="6">
        <f>VLOOKUP(G144,全部!C:AQ,41,FALSE)</f>
        <v>0</v>
      </c>
      <c r="AF144" s="4">
        <f>VLOOKUP(G144,全部!C:AR,42,FALSE)</f>
        <v>0</v>
      </c>
      <c r="AG144" s="7">
        <f>VLOOKUP(G144,全部!C:AS,43,FALSE)</f>
        <v>0</v>
      </c>
      <c r="AH144" s="64" t="str">
        <f>IF(VLOOKUP(G144,全部!C:AT,44,FALSE)=0,"",VLOOKUP(G144,全部!C:AT,44,FALSE))</f>
        <v/>
      </c>
      <c r="AI144">
        <v>0</v>
      </c>
      <c r="AJ144" s="3">
        <v>41912.6862384259</v>
      </c>
      <c r="AK144" s="2" t="s">
        <v>1897</v>
      </c>
    </row>
    <row r="145" spans="1:37" x14ac:dyDescent="0.15">
      <c r="A145" s="2" t="s">
        <v>1896</v>
      </c>
      <c r="B145">
        <v>178</v>
      </c>
      <c r="C145" s="3">
        <v>41609</v>
      </c>
      <c r="D145" s="2" t="s">
        <v>37</v>
      </c>
      <c r="E145" s="2" t="s">
        <v>1895</v>
      </c>
      <c r="F145" s="2" t="s">
        <v>41</v>
      </c>
      <c r="G145" s="2" t="s">
        <v>308</v>
      </c>
      <c r="H145" s="2" t="s">
        <v>309</v>
      </c>
      <c r="I145" s="4">
        <f>VLOOKUP(G145,全部!C:M,11,FALSE)</f>
        <v>1236415</v>
      </c>
      <c r="J145" s="4">
        <f t="shared" si="2"/>
        <v>0</v>
      </c>
      <c r="K145" s="4">
        <f>VLOOKUP(计算!G145,全部!C:N,12,FALSE)</f>
        <v>0</v>
      </c>
      <c r="L145" s="5">
        <f>VLOOKUP(G145,全部!C:P,14,FALSE)</f>
        <v>0</v>
      </c>
      <c r="M145" s="5">
        <f>VLOOKUP(G145,全部!C:V,20,FALSE)*100</f>
        <v>4</v>
      </c>
      <c r="N145" s="6">
        <f>VLOOKUP(G145,全部!C:W,21,FALSE)</f>
        <v>49456.6</v>
      </c>
      <c r="O145" s="4">
        <f>VLOOKUP(G145,全部!C:X,22,FALSE)</f>
        <v>47920</v>
      </c>
      <c r="P145" s="4">
        <f>VLOOKUP(G145,全部!C:Y,23,FALSE)</f>
        <v>47920</v>
      </c>
      <c r="Q145" s="6">
        <f>VLOOKUP(G145,全部!C:Z,24,FALSE)</f>
        <v>1536.5999999999985</v>
      </c>
      <c r="R145" s="7">
        <f>VLOOKUP(G145,全部!C:AA,25,FALSE)</f>
        <v>0</v>
      </c>
      <c r="S145" s="7">
        <f>VLOOKUP(G145,全部!C:AB,26,FALSE)</f>
        <v>0</v>
      </c>
      <c r="T145" s="4">
        <f>VLOOKUP(计算!G145,全部!C:AC,27,FALSE)</f>
        <v>936915</v>
      </c>
      <c r="U145" s="4">
        <f>VLOOKUP(G145,全部!C:AD,28,FALSE)</f>
        <v>936915</v>
      </c>
      <c r="V145" s="6">
        <f>VLOOKUP(G145,全部!C:AE,29,FALSE)</f>
        <v>0.75776741628013244</v>
      </c>
      <c r="W145" s="4">
        <f>VLOOKUP(G145,全部!C:AF,30,FALSE)</f>
        <v>0</v>
      </c>
      <c r="X145" s="4">
        <f>VLOOKUP(G145,全部!C:AG,31,FALSE)</f>
        <v>0</v>
      </c>
      <c r="Y145" s="4">
        <f>VLOOKUP(计算!G145,全部!C:AH,32,FALSE)</f>
        <v>859342.86</v>
      </c>
      <c r="Z145" s="4">
        <f>VLOOKUP(G145,全部!C:AL,36,FALSE)</f>
        <v>859342.86</v>
      </c>
      <c r="AA145" s="4">
        <f>VLOOKUP(G145,全部!C:AM,37,FALSE)</f>
        <v>3.4000000000000002E-2</v>
      </c>
      <c r="AB145" s="6">
        <f>VLOOKUP(G145,全部!C:AN,38,FALSE)</f>
        <v>42038.11</v>
      </c>
      <c r="AC145" s="4">
        <f>VLOOKUP(G145,全部!C:AO,39,FALSE)</f>
        <v>31855.31</v>
      </c>
      <c r="AD145" s="4">
        <f>VLOOKUP(G145,全部!C:AP,40,FALSE)</f>
        <v>31855.31</v>
      </c>
      <c r="AE145" s="6">
        <f>VLOOKUP(G145,全部!C:AQ,41,FALSE)</f>
        <v>10182.799999999999</v>
      </c>
      <c r="AF145" s="4">
        <f>VLOOKUP(G145,全部!C:AR,42,FALSE)</f>
        <v>0</v>
      </c>
      <c r="AG145" s="7">
        <f>VLOOKUP(G145,全部!C:AS,43,FALSE)</f>
        <v>0</v>
      </c>
      <c r="AH145" s="64" t="str">
        <f>IF(VLOOKUP(G145,全部!C:AT,44,FALSE)=0,"",VLOOKUP(G145,全部!C:AT,44,FALSE))</f>
        <v/>
      </c>
      <c r="AI145">
        <v>0</v>
      </c>
      <c r="AJ145" s="3">
        <v>41912.6862384259</v>
      </c>
      <c r="AK145" s="2" t="s">
        <v>1894</v>
      </c>
    </row>
    <row r="146" spans="1:37" x14ac:dyDescent="0.15">
      <c r="A146" s="2" t="s">
        <v>1893</v>
      </c>
      <c r="B146">
        <v>192</v>
      </c>
      <c r="C146" s="3">
        <v>41609</v>
      </c>
      <c r="D146" s="2" t="s">
        <v>37</v>
      </c>
      <c r="E146" s="2" t="s">
        <v>1892</v>
      </c>
      <c r="F146" s="2" t="s">
        <v>41</v>
      </c>
      <c r="G146" s="2" t="s">
        <v>310</v>
      </c>
      <c r="H146" s="2" t="s">
        <v>311</v>
      </c>
      <c r="I146" s="4">
        <f>VLOOKUP(G146,全部!C:M,11,FALSE)</f>
        <v>1042588.3</v>
      </c>
      <c r="J146" s="4">
        <f t="shared" si="2"/>
        <v>0</v>
      </c>
      <c r="K146" s="4">
        <f>VLOOKUP(计算!G146,全部!C:N,12,FALSE)</f>
        <v>0</v>
      </c>
      <c r="L146" s="5">
        <f>VLOOKUP(G146,全部!C:P,14,FALSE)</f>
        <v>0</v>
      </c>
      <c r="M146" s="5">
        <f>VLOOKUP(G146,全部!C:V,20,FALSE)*100</f>
        <v>3.5999999999999996</v>
      </c>
      <c r="N146" s="6">
        <f>VLOOKUP(G146,全部!C:W,21,FALSE)</f>
        <v>37533.178800000002</v>
      </c>
      <c r="O146" s="4">
        <f>VLOOKUP(G146,全部!C:X,22,FALSE)</f>
        <v>2892.48</v>
      </c>
      <c r="P146" s="4">
        <f>VLOOKUP(G146,全部!C:Y,23,FALSE)</f>
        <v>2892.48</v>
      </c>
      <c r="Q146" s="6">
        <f>VLOOKUP(G146,全部!C:Z,24,FALSE)</f>
        <v>34640.698799999998</v>
      </c>
      <c r="R146" s="7">
        <f>VLOOKUP(G146,全部!C:AA,25,FALSE)</f>
        <v>0</v>
      </c>
      <c r="S146" s="7">
        <f>VLOOKUP(G146,全部!C:AB,26,FALSE)</f>
        <v>0</v>
      </c>
      <c r="T146" s="4">
        <f>VLOOKUP(计算!G146,全部!C:AC,27,FALSE)</f>
        <v>300000</v>
      </c>
      <c r="U146" s="4">
        <f>VLOOKUP(G146,全部!C:AD,28,FALSE)</f>
        <v>300000</v>
      </c>
      <c r="V146" s="6">
        <f>VLOOKUP(G146,全部!C:AE,29,FALSE)</f>
        <v>0.28774541206725607</v>
      </c>
      <c r="W146" s="4">
        <f>VLOOKUP(G146,全部!C:AF,30,FALSE)</f>
        <v>0</v>
      </c>
      <c r="X146" s="4">
        <f>VLOOKUP(G146,全部!C:AG,31,FALSE)</f>
        <v>0</v>
      </c>
      <c r="Y146" s="4">
        <f>VLOOKUP(计算!G146,全部!C:AH,32,FALSE)</f>
        <v>289800</v>
      </c>
      <c r="Z146" s="4">
        <f>VLOOKUP(G146,全部!C:AL,36,FALSE)</f>
        <v>289800</v>
      </c>
      <c r="AA146" s="4">
        <f>VLOOKUP(G146,全部!C:AM,37,FALSE)</f>
        <v>3.4000000000000002E-2</v>
      </c>
      <c r="AB146" s="6">
        <f>VLOOKUP(G146,全部!C:AN,38,FALSE)</f>
        <v>35448.002200000003</v>
      </c>
      <c r="AC146" s="4">
        <f>VLOOKUP(G146,全部!C:AO,39,FALSE)</f>
        <v>10200</v>
      </c>
      <c r="AD146" s="4">
        <f>VLOOKUP(G146,全部!C:AP,40,FALSE)</f>
        <v>10200</v>
      </c>
      <c r="AE146" s="6">
        <f>VLOOKUP(G146,全部!C:AQ,41,FALSE)</f>
        <v>25248.002200000003</v>
      </c>
      <c r="AF146" s="4">
        <f>VLOOKUP(G146,全部!C:AR,42,FALSE)</f>
        <v>0</v>
      </c>
      <c r="AG146" s="7">
        <f>VLOOKUP(G146,全部!C:AS,43,FALSE)</f>
        <v>0</v>
      </c>
      <c r="AH146" s="64" t="str">
        <f>IF(VLOOKUP(G146,全部!C:AT,44,FALSE)=0,"",VLOOKUP(G146,全部!C:AT,44,FALSE))</f>
        <v/>
      </c>
      <c r="AI146">
        <v>0</v>
      </c>
      <c r="AJ146" s="3">
        <v>41912.6862384259</v>
      </c>
      <c r="AK146" s="2" t="s">
        <v>1891</v>
      </c>
    </row>
    <row r="147" spans="1:37" x14ac:dyDescent="0.15">
      <c r="A147" s="2" t="s">
        <v>1890</v>
      </c>
      <c r="B147">
        <v>206</v>
      </c>
      <c r="C147" s="3">
        <v>41609</v>
      </c>
      <c r="D147" s="2" t="s">
        <v>37</v>
      </c>
      <c r="E147" s="2" t="s">
        <v>1889</v>
      </c>
      <c r="F147" s="2" t="s">
        <v>41</v>
      </c>
      <c r="G147" s="2" t="s">
        <v>314</v>
      </c>
      <c r="H147" s="2" t="s">
        <v>315</v>
      </c>
      <c r="I147" s="4">
        <f>VLOOKUP(G147,全部!C:M,11,FALSE)</f>
        <v>1976165.98</v>
      </c>
      <c r="J147" s="4">
        <f t="shared" si="2"/>
        <v>0</v>
      </c>
      <c r="K147" s="4">
        <f>VLOOKUP(计算!G147,全部!C:N,12,FALSE)</f>
        <v>0</v>
      </c>
      <c r="L147" s="5">
        <f>VLOOKUP(G147,全部!C:P,14,FALSE)</f>
        <v>0</v>
      </c>
      <c r="M147" s="5">
        <f>VLOOKUP(G147,全部!C:V,20,FALSE)*100</f>
        <v>3.5999999999999996</v>
      </c>
      <c r="N147" s="6">
        <f>VLOOKUP(G147,全部!C:W,21,FALSE)</f>
        <v>71141.975279999999</v>
      </c>
      <c r="O147" s="4">
        <f>VLOOKUP(G147,全部!C:X,22,FALSE)</f>
        <v>0</v>
      </c>
      <c r="P147" s="4">
        <f>VLOOKUP(G147,全部!C:Y,23,FALSE)</f>
        <v>0</v>
      </c>
      <c r="Q147" s="6">
        <f>VLOOKUP(G147,全部!C:Z,24,FALSE)</f>
        <v>71141.975279999999</v>
      </c>
      <c r="R147" s="7">
        <f>VLOOKUP(G147,全部!C:AA,25,FALSE)</f>
        <v>0</v>
      </c>
      <c r="S147" s="7">
        <f>VLOOKUP(G147,全部!C:AB,26,FALSE)</f>
        <v>0</v>
      </c>
      <c r="T147" s="4">
        <f>VLOOKUP(计算!G147,全部!C:AC,27,FALSE)</f>
        <v>1585970</v>
      </c>
      <c r="U147" s="4">
        <f>VLOOKUP(G147,全部!C:AD,28,FALSE)</f>
        <v>1585970</v>
      </c>
      <c r="V147" s="6">
        <f>VLOOKUP(G147,全部!C:AE,29,FALSE)</f>
        <v>0.80254898427104793</v>
      </c>
      <c r="W147" s="4">
        <f>VLOOKUP(G147,全部!C:AF,30,FALSE)</f>
        <v>0</v>
      </c>
      <c r="X147" s="4">
        <f>VLOOKUP(G147,全部!C:AG,31,FALSE)</f>
        <v>0</v>
      </c>
      <c r="Y147" s="4">
        <f>VLOOKUP(计算!G147,全部!C:AH,32,FALSE)</f>
        <v>1529184.12</v>
      </c>
      <c r="Z147" s="4">
        <f>VLOOKUP(G147,全部!C:AL,36,FALSE)</f>
        <v>1529184.12</v>
      </c>
      <c r="AA147" s="4">
        <f>VLOOKUP(G147,全部!C:AM,37,FALSE)</f>
        <v>3.4000000000000002E-2</v>
      </c>
      <c r="AB147" s="6">
        <f>VLOOKUP(G147,全部!C:AN,38,FALSE)</f>
        <v>67189.643320000003</v>
      </c>
      <c r="AC147" s="4">
        <f>VLOOKUP(G147,全部!C:AO,39,FALSE)</f>
        <v>33594.800000000003</v>
      </c>
      <c r="AD147" s="4">
        <f>VLOOKUP(G147,全部!C:AP,40,FALSE)</f>
        <v>33594.800000000003</v>
      </c>
      <c r="AE147" s="6">
        <f>VLOOKUP(G147,全部!C:AQ,41,FALSE)</f>
        <v>33594.84332</v>
      </c>
      <c r="AF147" s="4">
        <f>VLOOKUP(G147,全部!C:AR,42,FALSE)</f>
        <v>0</v>
      </c>
      <c r="AG147" s="7">
        <f>VLOOKUP(G147,全部!C:AS,43,FALSE)</f>
        <v>0</v>
      </c>
      <c r="AH147" s="64" t="str">
        <f>IF(VLOOKUP(G147,全部!C:AT,44,FALSE)=0,"",VLOOKUP(G147,全部!C:AT,44,FALSE))</f>
        <v/>
      </c>
      <c r="AI147">
        <v>0</v>
      </c>
      <c r="AJ147" s="3">
        <v>41912.6862384259</v>
      </c>
      <c r="AK147" s="2" t="s">
        <v>1888</v>
      </c>
    </row>
    <row r="148" spans="1:37" x14ac:dyDescent="0.15">
      <c r="A148" s="2" t="s">
        <v>1887</v>
      </c>
      <c r="B148">
        <v>1058</v>
      </c>
      <c r="C148" s="3">
        <v>41618</v>
      </c>
      <c r="D148" s="2" t="s">
        <v>37</v>
      </c>
      <c r="E148" s="2" t="s">
        <v>1886</v>
      </c>
      <c r="F148" s="2" t="s">
        <v>38</v>
      </c>
      <c r="G148" s="2" t="s">
        <v>336</v>
      </c>
      <c r="H148" s="2" t="s">
        <v>337</v>
      </c>
      <c r="I148" s="4">
        <f>VLOOKUP(G148,全部!C:M,11,FALSE)</f>
        <v>19413696.16</v>
      </c>
      <c r="J148" s="4">
        <f t="shared" si="2"/>
        <v>0</v>
      </c>
      <c r="K148" s="4">
        <f>VLOOKUP(计算!G148,全部!C:N,12,FALSE)</f>
        <v>0</v>
      </c>
      <c r="L148" s="5">
        <f>VLOOKUP(G148,全部!C:P,14,FALSE)</f>
        <v>0</v>
      </c>
      <c r="M148" s="5">
        <f>VLOOKUP(G148,全部!C:V,20,FALSE)*100</f>
        <v>3</v>
      </c>
      <c r="N148" s="6">
        <f>VLOOKUP(G148,全部!C:W,21,FALSE)</f>
        <v>582410.8848</v>
      </c>
      <c r="O148" s="4">
        <f>VLOOKUP(G148,全部!C:X,22,FALSE)</f>
        <v>582411</v>
      </c>
      <c r="P148" s="4">
        <f>VLOOKUP(G148,全部!C:Y,23,FALSE)</f>
        <v>582411</v>
      </c>
      <c r="Q148" s="6">
        <f>VLOOKUP(G148,全部!C:Z,24,FALSE)</f>
        <v>0</v>
      </c>
      <c r="R148" s="7">
        <f>VLOOKUP(G148,全部!C:AA,25,FALSE)</f>
        <v>11410745</v>
      </c>
      <c r="S148" s="7">
        <f>VLOOKUP(G148,全部!C:AB,26,FALSE)</f>
        <v>11410745</v>
      </c>
      <c r="T148" s="4">
        <f>VLOOKUP(计算!G148,全部!C:AC,27,FALSE)</f>
        <v>12320000</v>
      </c>
      <c r="U148" s="4">
        <f>VLOOKUP(G148,全部!C:AD,28,FALSE)</f>
        <v>12320000</v>
      </c>
      <c r="V148" s="6">
        <f>VLOOKUP(G148,全部!C:AE,29,FALSE)</f>
        <v>0.63460352415446475</v>
      </c>
      <c r="W148" s="4">
        <f>VLOOKUP(G148,全部!C:AF,30,FALSE)</f>
        <v>11478428.550000001</v>
      </c>
      <c r="X148" s="4">
        <f>VLOOKUP(G148,全部!C:AG,31,FALSE)</f>
        <v>11478428.550000001</v>
      </c>
      <c r="Y148" s="4">
        <f>VLOOKUP(计算!G148,全部!C:AH,32,FALSE)</f>
        <v>11478428.550000001</v>
      </c>
      <c r="Z148" s="4">
        <f>VLOOKUP(G148,全部!C:AL,36,FALSE)</f>
        <v>11478428.550000001</v>
      </c>
      <c r="AA148" s="4">
        <f>VLOOKUP(G148,全部!C:AM,37,FALSE)</f>
        <v>0</v>
      </c>
      <c r="AB148" s="6">
        <f>VLOOKUP(G148,全部!C:AN,38,FALSE)</f>
        <v>0</v>
      </c>
      <c r="AC148" s="4">
        <f>VLOOKUP(G148,全部!C:AO,39,FALSE)</f>
        <v>0</v>
      </c>
      <c r="AD148" s="4">
        <f>VLOOKUP(G148,全部!C:AP,40,FALSE)</f>
        <v>0</v>
      </c>
      <c r="AE148" s="6">
        <f>VLOOKUP(G148,全部!C:AQ,41,FALSE)</f>
        <v>0</v>
      </c>
      <c r="AF148" s="4">
        <f>VLOOKUP(G148,全部!C:AR,42,FALSE)</f>
        <v>0</v>
      </c>
      <c r="AG148" s="7">
        <f>VLOOKUP(G148,全部!C:AS,43,FALSE)</f>
        <v>0</v>
      </c>
      <c r="AH148" s="64" t="str">
        <f>IF(VLOOKUP(G148,全部!C:AT,44,FALSE)=0,"",VLOOKUP(G148,全部!C:AT,44,FALSE))</f>
        <v/>
      </c>
      <c r="AI148">
        <v>0</v>
      </c>
      <c r="AJ148" s="3">
        <v>41912.6862847222</v>
      </c>
      <c r="AK148" s="2" t="s">
        <v>1885</v>
      </c>
    </row>
    <row r="149" spans="1:37" x14ac:dyDescent="0.15">
      <c r="A149" s="2" t="s">
        <v>1884</v>
      </c>
      <c r="B149">
        <v>1064</v>
      </c>
      <c r="C149" s="3">
        <v>41626</v>
      </c>
      <c r="D149" s="2" t="s">
        <v>37</v>
      </c>
      <c r="E149" s="2" t="s">
        <v>1883</v>
      </c>
      <c r="F149" s="2" t="s">
        <v>38</v>
      </c>
      <c r="G149" s="2" t="s">
        <v>338</v>
      </c>
      <c r="H149" s="2" t="s">
        <v>339</v>
      </c>
      <c r="I149" s="4">
        <f>VLOOKUP(G149,全部!C:M,11,FALSE)</f>
        <v>8060000</v>
      </c>
      <c r="J149" s="4">
        <f t="shared" si="2"/>
        <v>0</v>
      </c>
      <c r="K149" s="4">
        <f>VLOOKUP(计算!G149,全部!C:N,12,FALSE)</f>
        <v>0</v>
      </c>
      <c r="L149" s="5">
        <f>VLOOKUP(G149,全部!C:P,14,FALSE)</f>
        <v>0</v>
      </c>
      <c r="M149" s="5">
        <f>VLOOKUP(G149,全部!C:V,20,FALSE)*100</f>
        <v>3</v>
      </c>
      <c r="N149" s="6">
        <f>VLOOKUP(G149,全部!C:W,21,FALSE)</f>
        <v>241800</v>
      </c>
      <c r="O149" s="4">
        <f>VLOOKUP(G149,全部!C:X,22,FALSE)</f>
        <v>241800</v>
      </c>
      <c r="P149" s="4">
        <f>VLOOKUP(G149,全部!C:Y,23,FALSE)</f>
        <v>241800</v>
      </c>
      <c r="Q149" s="6">
        <f>VLOOKUP(G149,全部!C:Z,24,FALSE)</f>
        <v>0</v>
      </c>
      <c r="R149" s="7">
        <f>VLOOKUP(G149,全部!C:AA,25,FALSE)</f>
        <v>0</v>
      </c>
      <c r="S149" s="7">
        <f>VLOOKUP(G149,全部!C:AB,26,FALSE)</f>
        <v>0</v>
      </c>
      <c r="T149" s="4">
        <f>VLOOKUP(计算!G149,全部!C:AC,27,FALSE)</f>
        <v>3057158</v>
      </c>
      <c r="U149" s="4">
        <f>VLOOKUP(G149,全部!C:AD,28,FALSE)</f>
        <v>3057158</v>
      </c>
      <c r="V149" s="6">
        <f>VLOOKUP(G149,全部!C:AE,29,FALSE)</f>
        <v>0.37930000000000003</v>
      </c>
      <c r="W149" s="4">
        <f>VLOOKUP(G149,全部!C:AF,30,FALSE)</f>
        <v>2765096.52</v>
      </c>
      <c r="X149" s="4">
        <f>VLOOKUP(G149,全部!C:AG,31,FALSE)</f>
        <v>2765096.52</v>
      </c>
      <c r="Y149" s="4">
        <f>VLOOKUP(计算!G149,全部!C:AH,32,FALSE)</f>
        <v>2765096.52</v>
      </c>
      <c r="Z149" s="4">
        <f>VLOOKUP(G149,全部!C:AL,36,FALSE)</f>
        <v>2765096.52</v>
      </c>
      <c r="AA149" s="4">
        <f>VLOOKUP(G149,全部!C:AM,37,FALSE)</f>
        <v>0</v>
      </c>
      <c r="AB149" s="6">
        <f>VLOOKUP(G149,全部!C:AN,38,FALSE)</f>
        <v>0</v>
      </c>
      <c r="AC149" s="4">
        <f>VLOOKUP(G149,全部!C:AO,39,FALSE)</f>
        <v>0</v>
      </c>
      <c r="AD149" s="4">
        <f>VLOOKUP(G149,全部!C:AP,40,FALSE)</f>
        <v>0</v>
      </c>
      <c r="AE149" s="6">
        <f>VLOOKUP(G149,全部!C:AQ,41,FALSE)</f>
        <v>0</v>
      </c>
      <c r="AF149" s="4">
        <f>VLOOKUP(G149,全部!C:AR,42,FALSE)</f>
        <v>0</v>
      </c>
      <c r="AG149" s="7">
        <f>VLOOKUP(G149,全部!C:AS,43,FALSE)</f>
        <v>104</v>
      </c>
      <c r="AH149" s="64" t="str">
        <f>IF(VLOOKUP(G149,全部!C:AT,44,FALSE)=0,"",VLOOKUP(G149,全部!C:AT,44,FALSE))</f>
        <v>三河</v>
      </c>
      <c r="AI149">
        <v>0</v>
      </c>
      <c r="AJ149" s="3">
        <v>41912.6862847222</v>
      </c>
      <c r="AK149" s="2" t="s">
        <v>1882</v>
      </c>
    </row>
    <row r="150" spans="1:37" x14ac:dyDescent="0.15">
      <c r="A150" s="2" t="s">
        <v>1881</v>
      </c>
      <c r="B150">
        <v>1071</v>
      </c>
      <c r="C150" s="3">
        <v>41626</v>
      </c>
      <c r="D150" s="2" t="s">
        <v>37</v>
      </c>
      <c r="E150" s="2" t="s">
        <v>1880</v>
      </c>
      <c r="F150" s="2" t="s">
        <v>38</v>
      </c>
      <c r="G150" s="2" t="s">
        <v>340</v>
      </c>
      <c r="H150" s="2" t="s">
        <v>341</v>
      </c>
      <c r="I150" s="4">
        <f>VLOOKUP(G150,全部!C:M,11,FALSE)</f>
        <v>229276</v>
      </c>
      <c r="J150" s="4">
        <f t="shared" si="2"/>
        <v>0</v>
      </c>
      <c r="K150" s="4">
        <f>VLOOKUP(计算!G150,全部!C:N,12,FALSE)</f>
        <v>0</v>
      </c>
      <c r="L150" s="5">
        <f>VLOOKUP(G150,全部!C:P,14,FALSE)</f>
        <v>0</v>
      </c>
      <c r="M150" s="5">
        <f>VLOOKUP(G150,全部!C:V,20,FALSE)*100</f>
        <v>3</v>
      </c>
      <c r="N150" s="6">
        <f>VLOOKUP(G150,全部!C:W,21,FALSE)</f>
        <v>6878.28</v>
      </c>
      <c r="O150" s="4">
        <f>VLOOKUP(G150,全部!C:X,22,FALSE)</f>
        <v>0</v>
      </c>
      <c r="P150" s="4">
        <f>VLOOKUP(G150,全部!C:Y,23,FALSE)</f>
        <v>0</v>
      </c>
      <c r="Q150" s="6">
        <f>VLOOKUP(G150,全部!C:Z,24,FALSE)</f>
        <v>6878.28</v>
      </c>
      <c r="R150" s="7">
        <f>VLOOKUP(G150,全部!C:AA,25,FALSE)</f>
        <v>91710.76</v>
      </c>
      <c r="S150" s="7">
        <f>VLOOKUP(G150,全部!C:AB,26,FALSE)</f>
        <v>91710.76</v>
      </c>
      <c r="T150" s="4">
        <f>VLOOKUP(计算!G150,全部!C:AC,27,FALSE)</f>
        <v>91710.76</v>
      </c>
      <c r="U150" s="4">
        <f>VLOOKUP(G150,全部!C:AD,28,FALSE)</f>
        <v>91710.76</v>
      </c>
      <c r="V150" s="6">
        <f>VLOOKUP(G150,全部!C:AE,29,FALSE)</f>
        <v>0.40000157015998183</v>
      </c>
      <c r="W150" s="4">
        <f>VLOOKUP(G150,全部!C:AF,30,FALSE)</f>
        <v>60349</v>
      </c>
      <c r="X150" s="4">
        <f>VLOOKUP(G150,全部!C:AG,31,FALSE)</f>
        <v>60349</v>
      </c>
      <c r="Y150" s="4">
        <f>VLOOKUP(计算!G150,全部!C:AH,32,FALSE)</f>
        <v>66158</v>
      </c>
      <c r="Z150" s="4">
        <f>VLOOKUP(G150,全部!C:AL,36,FALSE)</f>
        <v>66158</v>
      </c>
      <c r="AA150" s="4">
        <f>VLOOKUP(G150,全部!C:AM,37,FALSE)</f>
        <v>3.4000000000000002E-2</v>
      </c>
      <c r="AB150" s="6">
        <f>VLOOKUP(G150,全部!C:AN,38,FALSE)</f>
        <v>3118.1658400000001</v>
      </c>
      <c r="AC150" s="4">
        <f>VLOOKUP(G150,全部!C:AO,39,FALSE)</f>
        <v>3118</v>
      </c>
      <c r="AD150" s="4">
        <f>VLOOKUP(G150,全部!C:AP,40,FALSE)</f>
        <v>3118</v>
      </c>
      <c r="AE150" s="6">
        <f>VLOOKUP(G150,全部!C:AQ,41,FALSE)</f>
        <v>0</v>
      </c>
      <c r="AF150" s="4">
        <f>VLOOKUP(G150,全部!C:AR,42,FALSE)</f>
        <v>0</v>
      </c>
      <c r="AG150" s="7">
        <f>VLOOKUP(G150,全部!C:AS,43,FALSE)</f>
        <v>2</v>
      </c>
      <c r="AH150" s="64" t="str">
        <f>IF(VLOOKUP(G150,全部!C:AT,44,FALSE)=0,"",VLOOKUP(G150,全部!C:AT,44,FALSE))</f>
        <v>管庄</v>
      </c>
      <c r="AI150">
        <v>0</v>
      </c>
      <c r="AJ150" s="3">
        <v>41912.6862847222</v>
      </c>
      <c r="AK150" s="2" t="s">
        <v>1879</v>
      </c>
    </row>
    <row r="151" spans="1:37" x14ac:dyDescent="0.15">
      <c r="A151" s="2" t="s">
        <v>1878</v>
      </c>
      <c r="B151">
        <v>1080</v>
      </c>
      <c r="C151" s="3">
        <v>41628</v>
      </c>
      <c r="D151" s="2" t="s">
        <v>37</v>
      </c>
      <c r="E151" s="2" t="s">
        <v>1877</v>
      </c>
      <c r="F151" s="2" t="s">
        <v>38</v>
      </c>
      <c r="G151" s="2" t="s">
        <v>342</v>
      </c>
      <c r="H151" s="2" t="s">
        <v>343</v>
      </c>
      <c r="I151" s="4">
        <f>VLOOKUP(G151,全部!C:M,11,FALSE)</f>
        <v>330000</v>
      </c>
      <c r="J151" s="4">
        <f t="shared" si="2"/>
        <v>0</v>
      </c>
      <c r="K151" s="4">
        <f>VLOOKUP(计算!G151,全部!C:N,12,FALSE)</f>
        <v>0</v>
      </c>
      <c r="L151" s="5">
        <f>VLOOKUP(G151,全部!C:P,14,FALSE)</f>
        <v>0</v>
      </c>
      <c r="M151" s="5">
        <f>VLOOKUP(G151,全部!C:V,20,FALSE)*100</f>
        <v>3.5999999999999996</v>
      </c>
      <c r="N151" s="6">
        <f>VLOOKUP(G151,全部!C:W,21,FALSE)</f>
        <v>11880</v>
      </c>
      <c r="O151" s="4">
        <f>VLOOKUP(G151,全部!C:X,22,FALSE)</f>
        <v>3405.5</v>
      </c>
      <c r="P151" s="4">
        <f>VLOOKUP(G151,全部!C:Y,23,FALSE)</f>
        <v>3405.5</v>
      </c>
      <c r="Q151" s="6">
        <f>VLOOKUP(G151,全部!C:Z,24,FALSE)</f>
        <v>8474.5</v>
      </c>
      <c r="R151" s="7">
        <f>VLOOKUP(G151,全部!C:AA,25,FALSE)</f>
        <v>180000</v>
      </c>
      <c r="S151" s="7">
        <f>VLOOKUP(G151,全部!C:AB,26,FALSE)</f>
        <v>180000</v>
      </c>
      <c r="T151" s="4">
        <f>VLOOKUP(计算!G151,全部!C:AC,27,FALSE)</f>
        <v>180000</v>
      </c>
      <c r="U151" s="4">
        <f>VLOOKUP(G151,全部!C:AD,28,FALSE)</f>
        <v>180000</v>
      </c>
      <c r="V151" s="6">
        <f>VLOOKUP(G151,全部!C:AE,29,FALSE)</f>
        <v>0.54545454545454541</v>
      </c>
      <c r="W151" s="4">
        <f>VLOOKUP(G151,全部!C:AF,30,FALSE)</f>
        <v>170720</v>
      </c>
      <c r="X151" s="4">
        <f>VLOOKUP(G151,全部!C:AG,31,FALSE)</f>
        <v>170720</v>
      </c>
      <c r="Y151" s="4">
        <f>VLOOKUP(计算!G151,全部!C:AH,32,FALSE)</f>
        <v>176120</v>
      </c>
      <c r="Z151" s="4">
        <f>VLOOKUP(G151,全部!C:AL,36,FALSE)</f>
        <v>176840</v>
      </c>
      <c r="AA151" s="4">
        <f>VLOOKUP(G151,全部!C:AM,37,FALSE)</f>
        <v>3.4000000000000002E-2</v>
      </c>
      <c r="AB151" s="6">
        <f>VLOOKUP(G151,全部!C:AN,38,FALSE)</f>
        <v>6120</v>
      </c>
      <c r="AC151" s="4">
        <f>VLOOKUP(G151,全部!C:AO,39,FALSE)</f>
        <v>6120</v>
      </c>
      <c r="AD151" s="4">
        <f>VLOOKUP(G151,全部!C:AP,40,FALSE)</f>
        <v>6120</v>
      </c>
      <c r="AE151" s="6">
        <f>VLOOKUP(G151,全部!C:AQ,41,FALSE)</f>
        <v>0</v>
      </c>
      <c r="AF151" s="4">
        <f>VLOOKUP(G151,全部!C:AR,42,FALSE)</f>
        <v>0</v>
      </c>
      <c r="AG151" s="7">
        <f>VLOOKUP(G151,全部!C:AS,43,FALSE)</f>
        <v>5</v>
      </c>
      <c r="AH151" s="64" t="str">
        <f>IF(VLOOKUP(G151,全部!C:AT,44,FALSE)=0,"",VLOOKUP(G151,全部!C:AT,44,FALSE))</f>
        <v>昌平</v>
      </c>
      <c r="AI151">
        <v>0</v>
      </c>
      <c r="AJ151" s="3">
        <v>41912.6862847222</v>
      </c>
      <c r="AK151" s="2" t="s">
        <v>1876</v>
      </c>
    </row>
    <row r="152" spans="1:37" x14ac:dyDescent="0.15">
      <c r="A152" s="2" t="s">
        <v>1875</v>
      </c>
      <c r="B152">
        <v>1086</v>
      </c>
      <c r="C152" s="3">
        <v>41640</v>
      </c>
      <c r="D152" s="2" t="s">
        <v>37</v>
      </c>
      <c r="E152" s="2" t="s">
        <v>1874</v>
      </c>
      <c r="F152" s="2" t="s">
        <v>38</v>
      </c>
      <c r="G152" s="2" t="s">
        <v>344</v>
      </c>
      <c r="H152" s="2" t="s">
        <v>345</v>
      </c>
      <c r="I152" s="4">
        <f>VLOOKUP(G152,全部!C:M,11,FALSE)</f>
        <v>61225227</v>
      </c>
      <c r="J152" s="4">
        <f t="shared" si="2"/>
        <v>0</v>
      </c>
      <c r="K152" s="4">
        <f>VLOOKUP(计算!G152,全部!C:N,12,FALSE)</f>
        <v>0</v>
      </c>
      <c r="L152" s="5">
        <f>VLOOKUP(G152,全部!C:P,14,FALSE)</f>
        <v>0</v>
      </c>
      <c r="M152" s="5">
        <f>VLOOKUP(G152,全部!C:V,20,FALSE)*100</f>
        <v>2.5</v>
      </c>
      <c r="N152" s="6">
        <f>VLOOKUP(G152,全部!C:W,21,FALSE)</f>
        <v>1530630.675</v>
      </c>
      <c r="O152" s="4">
        <f>VLOOKUP(G152,全部!C:X,22,FALSE)</f>
        <v>790000</v>
      </c>
      <c r="P152" s="4">
        <f>VLOOKUP(G152,全部!C:Y,23,FALSE)</f>
        <v>790000</v>
      </c>
      <c r="Q152" s="6">
        <f>VLOOKUP(G152,全部!C:Z,24,FALSE)</f>
        <v>740630.67500000005</v>
      </c>
      <c r="R152" s="7">
        <f>VLOOKUP(G152,全部!C:AA,25,FALSE)</f>
        <v>28124956.18</v>
      </c>
      <c r="S152" s="7">
        <f>VLOOKUP(G152,全部!C:AB,26,FALSE)</f>
        <v>28124956.18</v>
      </c>
      <c r="T152" s="4">
        <f>VLOOKUP(计算!G152,全部!C:AC,27,FALSE)</f>
        <v>19687469.329999998</v>
      </c>
      <c r="U152" s="4">
        <f>VLOOKUP(G152,全部!C:AD,28,FALSE)</f>
        <v>19687469.329999998</v>
      </c>
      <c r="V152" s="6">
        <f>VLOOKUP(G152,全部!C:AE,29,FALSE)</f>
        <v>0.32155812717525734</v>
      </c>
      <c r="W152" s="4">
        <f>VLOOKUP(G152,全部!C:AF,30,FALSE)</f>
        <v>14697501.280000001</v>
      </c>
      <c r="X152" s="4">
        <f>VLOOKUP(G152,全部!C:AG,31,FALSE)</f>
        <v>14697501.280000001</v>
      </c>
      <c r="Y152" s="4">
        <f>VLOOKUP(计算!G152,全部!C:AH,32,FALSE)</f>
        <v>17777554.560000002</v>
      </c>
      <c r="Z152" s="4">
        <f>VLOOKUP(G152,全部!C:AL,36,FALSE)</f>
        <v>17777554.559999999</v>
      </c>
      <c r="AA152" s="4">
        <f>VLOOKUP(G152,全部!C:AM,37,FALSE)</f>
        <v>3.56E-2</v>
      </c>
      <c r="AB152" s="6">
        <f>VLOOKUP(G152,全部!C:AN,38,FALSE)</f>
        <v>1001248.440008</v>
      </c>
      <c r="AC152" s="4">
        <f>VLOOKUP(G152,全部!C:AO,39,FALSE)</f>
        <v>0</v>
      </c>
      <c r="AD152" s="4">
        <f>VLOOKUP(G152,全部!C:AP,40,FALSE)</f>
        <v>0</v>
      </c>
      <c r="AE152" s="6">
        <f>VLOOKUP(G152,全部!C:AQ,41,FALSE)</f>
        <v>0</v>
      </c>
      <c r="AF152" s="4">
        <f>VLOOKUP(G152,全部!C:AR,42,FALSE)</f>
        <v>0</v>
      </c>
      <c r="AG152" s="7">
        <f>VLOOKUP(G152,全部!C:AS,43,FALSE)</f>
        <v>0</v>
      </c>
      <c r="AH152" s="66" t="str">
        <f>IF(VLOOKUP(G152,全部!C:AT,44,FALSE)=0,"",VLOOKUP(G152,全部!C:AT,44,FALSE))</f>
        <v>亦庄</v>
      </c>
      <c r="AI152">
        <v>0</v>
      </c>
      <c r="AJ152" s="3">
        <v>41912.6862847222</v>
      </c>
      <c r="AK152" s="2" t="s">
        <v>1873</v>
      </c>
    </row>
    <row r="153" spans="1:37" x14ac:dyDescent="0.15">
      <c r="A153" s="2" t="s">
        <v>1872</v>
      </c>
      <c r="B153">
        <v>1102</v>
      </c>
      <c r="C153" s="3">
        <v>41640</v>
      </c>
      <c r="D153" s="2" t="s">
        <v>37</v>
      </c>
      <c r="E153" s="2" t="s">
        <v>1871</v>
      </c>
      <c r="F153" s="2" t="s">
        <v>38</v>
      </c>
      <c r="G153" s="2" t="s">
        <v>350</v>
      </c>
      <c r="H153" s="2" t="s">
        <v>351</v>
      </c>
      <c r="I153" s="4">
        <f>VLOOKUP(G153,全部!C:M,11,FALSE)</f>
        <v>42615176.350000001</v>
      </c>
      <c r="J153" s="4">
        <f t="shared" si="2"/>
        <v>0</v>
      </c>
      <c r="K153" s="4">
        <f>VLOOKUP(计算!G153,全部!C:N,12,FALSE)</f>
        <v>0</v>
      </c>
      <c r="L153" s="5">
        <f>VLOOKUP(G153,全部!C:P,14,FALSE)</f>
        <v>0</v>
      </c>
      <c r="M153" s="5">
        <f>VLOOKUP(G153,全部!C:V,20,FALSE)*100</f>
        <v>3</v>
      </c>
      <c r="N153" s="6">
        <f>VLOOKUP(G153,全部!C:W,21,FALSE)</f>
        <v>1278455.2904999999</v>
      </c>
      <c r="O153" s="4">
        <f>VLOOKUP(G153,全部!C:X,22,FALSE)</f>
        <v>800000</v>
      </c>
      <c r="P153" s="4">
        <f>VLOOKUP(G153,全部!C:Y,23,FALSE)</f>
        <v>800000</v>
      </c>
      <c r="Q153" s="6">
        <f>VLOOKUP(G153,全部!C:Z,24,FALSE)</f>
        <v>478455.29049999989</v>
      </c>
      <c r="R153" s="7">
        <f>VLOOKUP(G153,全部!C:AA,25,FALSE)</f>
        <v>17886113.5</v>
      </c>
      <c r="S153" s="7">
        <f>VLOOKUP(G153,全部!C:AB,26,FALSE)</f>
        <v>17886113.5</v>
      </c>
      <c r="T153" s="4">
        <f>VLOOKUP(计算!G153,全部!C:AC,27,FALSE)</f>
        <v>17886113.5</v>
      </c>
      <c r="U153" s="4">
        <f>VLOOKUP(G153,全部!C:AD,28,FALSE)</f>
        <v>17886113.5</v>
      </c>
      <c r="V153" s="6">
        <f>VLOOKUP(G153,全部!C:AE,29,FALSE)</f>
        <v>0.41971229575822228</v>
      </c>
      <c r="W153" s="4">
        <f>VLOOKUP(G153,全部!C:AF,30,FALSE)</f>
        <v>16222938.100000001</v>
      </c>
      <c r="X153" s="4">
        <f>VLOOKUP(G153,全部!C:AG,31,FALSE)</f>
        <v>16222938.1</v>
      </c>
      <c r="Y153" s="4">
        <f>VLOOKUP(计算!G153,全部!C:AH,32,FALSE)</f>
        <v>17003848.52</v>
      </c>
      <c r="Z153" s="4">
        <f>VLOOKUP(G153,全部!C:AL,36,FALSE)</f>
        <v>17003848.52</v>
      </c>
      <c r="AA153" s="4">
        <f>VLOOKUP(G153,全部!C:AM,37,FALSE)</f>
        <v>3.4000000000000002E-2</v>
      </c>
      <c r="AB153" s="6">
        <f>VLOOKUP(G153,全部!C:AN,38,FALSE)</f>
        <v>608127.85900000005</v>
      </c>
      <c r="AC153" s="4">
        <f>VLOOKUP(G153,全部!C:AO,39,FALSE)</f>
        <v>608128</v>
      </c>
      <c r="AD153" s="4">
        <f>VLOOKUP(G153,全部!C:AP,40,FALSE)</f>
        <v>608128</v>
      </c>
      <c r="AE153" s="6">
        <f>VLOOKUP(G153,全部!C:AQ,41,FALSE)</f>
        <v>0</v>
      </c>
      <c r="AF153" s="4">
        <f>VLOOKUP(G153,全部!C:AR,42,FALSE)</f>
        <v>0</v>
      </c>
      <c r="AG153" s="7">
        <f>VLOOKUP(G153,全部!C:AS,43,FALSE)</f>
        <v>150</v>
      </c>
      <c r="AH153" s="64" t="str">
        <f>IF(VLOOKUP(G153,全部!C:AT,44,FALSE)=0,"",VLOOKUP(G153,全部!C:AT,44,FALSE))</f>
        <v>亦庄</v>
      </c>
      <c r="AI153">
        <v>0</v>
      </c>
      <c r="AJ153" s="3">
        <v>41912.6862847222</v>
      </c>
      <c r="AK153" s="2" t="s">
        <v>1870</v>
      </c>
    </row>
    <row r="154" spans="1:37" x14ac:dyDescent="0.15">
      <c r="A154" s="2" t="s">
        <v>1869</v>
      </c>
      <c r="B154">
        <v>216</v>
      </c>
      <c r="C154" s="3">
        <v>41640</v>
      </c>
      <c r="D154" s="2" t="s">
        <v>37</v>
      </c>
      <c r="E154" s="2" t="s">
        <v>1868</v>
      </c>
      <c r="F154" s="2" t="s">
        <v>41</v>
      </c>
      <c r="G154" s="2" t="s">
        <v>348</v>
      </c>
      <c r="H154" s="2" t="s">
        <v>349</v>
      </c>
      <c r="I154" s="4">
        <f>VLOOKUP(G154,全部!C:M,11,FALSE)</f>
        <v>8084018.7400000002</v>
      </c>
      <c r="J154" s="4">
        <f t="shared" si="2"/>
        <v>0</v>
      </c>
      <c r="K154" s="4">
        <f>VLOOKUP(计算!G154,全部!C:N,12,FALSE)</f>
        <v>0</v>
      </c>
      <c r="L154" s="5">
        <f>VLOOKUP(G154,全部!C:P,14,FALSE)</f>
        <v>0</v>
      </c>
      <c r="M154" s="5">
        <f>VLOOKUP(G154,全部!C:V,20,FALSE)*100</f>
        <v>3</v>
      </c>
      <c r="N154" s="6">
        <f>VLOOKUP(G154,全部!C:W,21,FALSE)</f>
        <v>242520.56219999999</v>
      </c>
      <c r="O154" s="4">
        <f>VLOOKUP(G154,全部!C:X,22,FALSE)</f>
        <v>121260</v>
      </c>
      <c r="P154" s="4">
        <f>VLOOKUP(G154,全部!C:Y,23,FALSE)</f>
        <v>121260</v>
      </c>
      <c r="Q154" s="6">
        <f>VLOOKUP(G154,全部!C:Z,24,FALSE)</f>
        <v>121260.56219999999</v>
      </c>
      <c r="R154" s="7">
        <f>VLOOKUP(G154,全部!C:AA,25,FALSE)</f>
        <v>0</v>
      </c>
      <c r="S154" s="7">
        <f>VLOOKUP(G154,全部!C:AB,26,FALSE)</f>
        <v>0</v>
      </c>
      <c r="T154" s="4">
        <f>VLOOKUP(计算!G154,全部!C:AC,27,FALSE)</f>
        <v>1578401</v>
      </c>
      <c r="U154" s="4">
        <f>VLOOKUP(G154,全部!C:AD,28,FALSE)</f>
        <v>1578401</v>
      </c>
      <c r="V154" s="6">
        <f>VLOOKUP(G154,全部!C:AE,29,FALSE)</f>
        <v>0.19524954738044062</v>
      </c>
      <c r="W154" s="4">
        <f>VLOOKUP(G154,全部!C:AF,30,FALSE)</f>
        <v>0</v>
      </c>
      <c r="X154" s="4">
        <f>VLOOKUP(G154,全部!C:AG,31,FALSE)</f>
        <v>0</v>
      </c>
      <c r="Y154" s="4">
        <f>VLOOKUP(计算!G154,全部!C:AH,32,FALSE)</f>
        <v>1516729</v>
      </c>
      <c r="Z154" s="4">
        <f>VLOOKUP(G154,全部!C:AL,36,FALSE)</f>
        <v>1516729</v>
      </c>
      <c r="AA154" s="4">
        <f>VLOOKUP(G154,全部!C:AM,37,FALSE)</f>
        <v>3.4000000000000002E-2</v>
      </c>
      <c r="AB154" s="6">
        <f>VLOOKUP(G154,全部!C:AN,38,FALSE)</f>
        <v>274856.63716000004</v>
      </c>
      <c r="AC154" s="4">
        <f>VLOOKUP(G154,全部!C:AO,39,FALSE)</f>
        <v>53665.63</v>
      </c>
      <c r="AD154" s="4">
        <f>VLOOKUP(G154,全部!C:AP,40,FALSE)</f>
        <v>53665.63</v>
      </c>
      <c r="AE154" s="6">
        <f>VLOOKUP(G154,全部!C:AQ,41,FALSE)</f>
        <v>221191.00716000004</v>
      </c>
      <c r="AF154" s="4">
        <f>VLOOKUP(G154,全部!C:AR,42,FALSE)</f>
        <v>0</v>
      </c>
      <c r="AG154" s="7">
        <f>VLOOKUP(G154,全部!C:AS,43,FALSE)</f>
        <v>0</v>
      </c>
      <c r="AH154" s="64" t="str">
        <f>IF(VLOOKUP(G154,全部!C:AT,44,FALSE)=0,"",VLOOKUP(G154,全部!C:AT,44,FALSE))</f>
        <v/>
      </c>
      <c r="AI154">
        <v>0</v>
      </c>
      <c r="AJ154" s="3">
        <v>41912.6862384259</v>
      </c>
      <c r="AK154" s="2" t="s">
        <v>1867</v>
      </c>
    </row>
    <row r="155" spans="1:37" x14ac:dyDescent="0.15">
      <c r="A155" s="2" t="s">
        <v>1866</v>
      </c>
      <c r="B155">
        <v>1093</v>
      </c>
      <c r="C155" s="3">
        <v>41640</v>
      </c>
      <c r="D155" s="2" t="s">
        <v>37</v>
      </c>
      <c r="E155" s="2" t="s">
        <v>1865</v>
      </c>
      <c r="F155" s="2" t="s">
        <v>38</v>
      </c>
      <c r="G155" s="2" t="s">
        <v>346</v>
      </c>
      <c r="H155" s="2" t="s">
        <v>347</v>
      </c>
      <c r="I155" s="4">
        <f>VLOOKUP(G155,全部!C:M,11,FALSE)</f>
        <v>14355608.07</v>
      </c>
      <c r="J155" s="4">
        <f t="shared" si="2"/>
        <v>0</v>
      </c>
      <c r="K155" s="4">
        <f>VLOOKUP(计算!G155,全部!C:N,12,FALSE)</f>
        <v>0</v>
      </c>
      <c r="L155" s="5">
        <f>VLOOKUP(G155,全部!C:P,14,FALSE)</f>
        <v>0</v>
      </c>
      <c r="M155" s="5">
        <f>VLOOKUP(G155,全部!C:V,20,FALSE)*100</f>
        <v>3.2</v>
      </c>
      <c r="N155" s="6">
        <f>VLOOKUP(G155,全部!C:W,21,FALSE)</f>
        <v>459379.45824000001</v>
      </c>
      <c r="O155" s="4">
        <f>VLOOKUP(G155,全部!C:X,22,FALSE)</f>
        <v>459379</v>
      </c>
      <c r="P155" s="4">
        <f>VLOOKUP(G155,全部!C:Y,23,FALSE)</f>
        <v>459379</v>
      </c>
      <c r="Q155" s="6">
        <f>VLOOKUP(G155,全部!C:Z,24,FALSE)</f>
        <v>0</v>
      </c>
      <c r="R155" s="7">
        <f>VLOOKUP(G155,全部!C:AA,25,FALSE)</f>
        <v>10766705.58</v>
      </c>
      <c r="S155" s="7">
        <f>VLOOKUP(G155,全部!C:AB,26,FALSE)</f>
        <v>10766705.58</v>
      </c>
      <c r="T155" s="4">
        <f>VLOOKUP(计算!G155,全部!C:AC,27,FALSE)</f>
        <v>10766705.58</v>
      </c>
      <c r="U155" s="4">
        <f>VLOOKUP(G155,全部!C:AD,28,FALSE)</f>
        <v>10766705.58</v>
      </c>
      <c r="V155" s="6">
        <f>VLOOKUP(G155,全部!C:AE,29,FALSE)</f>
        <v>0.74999996708603367</v>
      </c>
      <c r="W155" s="4">
        <f>VLOOKUP(G155,全部!C:AF,30,FALSE)</f>
        <v>8237236.8899999997</v>
      </c>
      <c r="X155" s="4">
        <f>VLOOKUP(G155,全部!C:AG,31,FALSE)</f>
        <v>8237236.8899999997</v>
      </c>
      <c r="Y155" s="4">
        <f>VLOOKUP(计算!G155,全部!C:AH,32,FALSE)</f>
        <v>10005119.239999998</v>
      </c>
      <c r="Z155" s="4">
        <f>VLOOKUP(G155,全部!C:AL,36,FALSE)</f>
        <v>10005119.239999998</v>
      </c>
      <c r="AA155" s="4">
        <f>VLOOKUP(G155,全部!C:AM,37,FALSE)</f>
        <v>3.4000000000000002E-2</v>
      </c>
      <c r="AB155" s="6">
        <f>VLOOKUP(G155,全部!C:AN,38,FALSE)</f>
        <v>366067.98972000001</v>
      </c>
      <c r="AC155" s="4">
        <f>VLOOKUP(G155,全部!C:AO,39,FALSE)</f>
        <v>366068</v>
      </c>
      <c r="AD155" s="4">
        <f>VLOOKUP(G155,全部!C:AP,40,FALSE)</f>
        <v>366068</v>
      </c>
      <c r="AE155" s="6">
        <f>VLOOKUP(G155,全部!C:AQ,41,FALSE)</f>
        <v>0</v>
      </c>
      <c r="AF155" s="4">
        <f>VLOOKUP(G155,全部!C:AR,42,FALSE)</f>
        <v>0</v>
      </c>
      <c r="AG155" s="7">
        <f>VLOOKUP(G155,全部!C:AS,43,FALSE)</f>
        <v>0</v>
      </c>
      <c r="AH155" s="64" t="str">
        <f>IF(VLOOKUP(G155,全部!C:AT,44,FALSE)=0,"",VLOOKUP(G155,全部!C:AT,44,FALSE))</f>
        <v/>
      </c>
      <c r="AI155">
        <v>0</v>
      </c>
      <c r="AJ155" s="3">
        <v>41912.6862847222</v>
      </c>
      <c r="AK155" s="2" t="s">
        <v>1864</v>
      </c>
    </row>
    <row r="156" spans="1:37" x14ac:dyDescent="0.15">
      <c r="A156" s="2" t="s">
        <v>1863</v>
      </c>
      <c r="B156">
        <v>1094</v>
      </c>
      <c r="C156" s="3">
        <v>41640</v>
      </c>
      <c r="D156" s="2" t="s">
        <v>37</v>
      </c>
      <c r="E156" s="2" t="s">
        <v>1862</v>
      </c>
      <c r="F156" s="2" t="s">
        <v>38</v>
      </c>
      <c r="G156" s="2" t="s">
        <v>1547</v>
      </c>
      <c r="H156" s="2" t="s">
        <v>1681</v>
      </c>
      <c r="I156" s="4">
        <f>VLOOKUP(G156,全部!C:M,11,FALSE)</f>
        <v>0</v>
      </c>
      <c r="J156" s="4">
        <f t="shared" si="2"/>
        <v>0</v>
      </c>
      <c r="K156" s="4">
        <f>VLOOKUP(计算!G156,全部!C:N,12,FALSE)</f>
        <v>0</v>
      </c>
      <c r="L156" s="5">
        <f>VLOOKUP(G156,全部!C:P,14,FALSE)</f>
        <v>0</v>
      </c>
      <c r="M156" s="5">
        <f>VLOOKUP(G156,全部!C:V,20,FALSE)*100</f>
        <v>0</v>
      </c>
      <c r="N156" s="6">
        <f>VLOOKUP(G156,全部!C:W,21,FALSE)</f>
        <v>0</v>
      </c>
      <c r="O156" s="4">
        <f>VLOOKUP(G156,全部!C:X,22,FALSE)</f>
        <v>0</v>
      </c>
      <c r="P156" s="4">
        <f>VLOOKUP(G156,全部!C:Y,23,FALSE)</f>
        <v>0</v>
      </c>
      <c r="Q156" s="6">
        <f>VLOOKUP(G156,全部!C:Z,24,FALSE)</f>
        <v>0</v>
      </c>
      <c r="R156" s="7">
        <f>VLOOKUP(G156,全部!C:AA,25,FALSE)</f>
        <v>0</v>
      </c>
      <c r="S156" s="7">
        <f>VLOOKUP(G156,全部!C:AB,26,FALSE)</f>
        <v>0</v>
      </c>
      <c r="T156" s="4">
        <f>VLOOKUP(计算!G156,全部!C:AC,27,FALSE)</f>
        <v>0</v>
      </c>
      <c r="U156" s="4">
        <f>VLOOKUP(G156,全部!C:AD,28,FALSE)</f>
        <v>0</v>
      </c>
      <c r="V156" s="6">
        <f>VLOOKUP(G156,全部!C:AE,29,FALSE)</f>
        <v>0</v>
      </c>
      <c r="W156" s="4">
        <f>VLOOKUP(G156,全部!C:AF,30,FALSE)</f>
        <v>0</v>
      </c>
      <c r="X156" s="4">
        <f>VLOOKUP(G156,全部!C:AG,31,FALSE)</f>
        <v>0</v>
      </c>
      <c r="Y156" s="4">
        <f>VLOOKUP(计算!G156,全部!C:AH,32,FALSE)</f>
        <v>0</v>
      </c>
      <c r="Z156" s="4">
        <f>VLOOKUP(G156,全部!C:AL,36,FALSE)</f>
        <v>0</v>
      </c>
      <c r="AA156" s="4">
        <f>VLOOKUP(G156,全部!C:AM,37,FALSE)</f>
        <v>0</v>
      </c>
      <c r="AB156" s="6">
        <f>VLOOKUP(G156,全部!C:AN,38,FALSE)</f>
        <v>0</v>
      </c>
      <c r="AC156" s="4">
        <f>VLOOKUP(G156,全部!C:AO,39,FALSE)</f>
        <v>0</v>
      </c>
      <c r="AD156" s="4">
        <f>VLOOKUP(G156,全部!C:AP,40,FALSE)</f>
        <v>0</v>
      </c>
      <c r="AE156" s="6">
        <f>VLOOKUP(G156,全部!C:AQ,41,FALSE)</f>
        <v>0</v>
      </c>
      <c r="AF156" s="4">
        <f>VLOOKUP(G156,全部!C:AR,42,FALSE)</f>
        <v>0</v>
      </c>
      <c r="AG156" s="7">
        <f>VLOOKUP(G156,全部!C:AS,43,FALSE)</f>
        <v>0</v>
      </c>
      <c r="AH156" s="64" t="str">
        <f>IF(VLOOKUP(G156,全部!C:AT,44,FALSE)=0,"",VLOOKUP(G156,全部!C:AT,44,FALSE))</f>
        <v/>
      </c>
      <c r="AI156">
        <v>0</v>
      </c>
      <c r="AJ156" s="3">
        <v>41912.6862847222</v>
      </c>
      <c r="AK156" s="2" t="s">
        <v>1861</v>
      </c>
    </row>
    <row r="157" spans="1:37" x14ac:dyDescent="0.15">
      <c r="A157" s="2" t="s">
        <v>1860</v>
      </c>
      <c r="B157">
        <v>221</v>
      </c>
      <c r="C157" s="3">
        <v>41671</v>
      </c>
      <c r="D157" s="2" t="s">
        <v>37</v>
      </c>
      <c r="E157" s="2" t="s">
        <v>1859</v>
      </c>
      <c r="F157" s="2" t="s">
        <v>41</v>
      </c>
      <c r="G157" s="2" t="s">
        <v>352</v>
      </c>
      <c r="H157" s="2" t="s">
        <v>353</v>
      </c>
      <c r="I157" s="4">
        <f>VLOOKUP(G157,全部!C:M,11,FALSE)</f>
        <v>2915737.56</v>
      </c>
      <c r="J157" s="4">
        <f t="shared" si="2"/>
        <v>0</v>
      </c>
      <c r="K157" s="4">
        <f>VLOOKUP(计算!G157,全部!C:N,12,FALSE)</f>
        <v>0</v>
      </c>
      <c r="L157" s="5">
        <f>VLOOKUP(G157,全部!C:P,14,FALSE)</f>
        <v>0</v>
      </c>
      <c r="M157" s="5">
        <f>VLOOKUP(G157,全部!C:V,20,FALSE)*100</f>
        <v>3.5999999999999996</v>
      </c>
      <c r="N157" s="6">
        <f>VLOOKUP(G157,全部!C:W,21,FALSE)</f>
        <v>104966.55215999999</v>
      </c>
      <c r="O157" s="4">
        <f>VLOOKUP(G157,全部!C:X,22,FALSE)</f>
        <v>97955.71</v>
      </c>
      <c r="P157" s="4">
        <f>VLOOKUP(G157,全部!C:Y,23,FALSE)</f>
        <v>97955.71</v>
      </c>
      <c r="Q157" s="6">
        <f>VLOOKUP(G157,全部!C:Z,24,FALSE)</f>
        <v>7010.8421599999856</v>
      </c>
      <c r="R157" s="7">
        <f>VLOOKUP(G157,全部!C:AA,25,FALSE)</f>
        <v>0</v>
      </c>
      <c r="S157" s="7">
        <f>VLOOKUP(G157,全部!C:AB,26,FALSE)</f>
        <v>0</v>
      </c>
      <c r="T157" s="4">
        <f>VLOOKUP(计算!G157,全部!C:AC,27,FALSE)</f>
        <v>1360496</v>
      </c>
      <c r="U157" s="4">
        <f>VLOOKUP(G157,全部!C:AD,28,FALSE)</f>
        <v>1360496</v>
      </c>
      <c r="V157" s="6">
        <f>VLOOKUP(G157,全部!C:AE,29,FALSE)</f>
        <v>0.4666044086628976</v>
      </c>
      <c r="W157" s="4">
        <f>VLOOKUP(G157,全部!C:AF,30,FALSE)</f>
        <v>0</v>
      </c>
      <c r="X157" s="4">
        <f>VLOOKUP(G157,全部!C:AG,31,FALSE)</f>
        <v>0</v>
      </c>
      <c r="Y157" s="4">
        <f>VLOOKUP(计算!G157,全部!C:AH,32,FALSE)</f>
        <v>1145067.95</v>
      </c>
      <c r="Z157" s="4">
        <f>VLOOKUP(G157,全部!C:AL,36,FALSE)</f>
        <v>1145067.95</v>
      </c>
      <c r="AA157" s="4">
        <f>VLOOKUP(G157,全部!C:AM,37,FALSE)</f>
        <v>3.4000000000000002E-2</v>
      </c>
      <c r="AB157" s="6">
        <f>VLOOKUP(G157,全部!C:AN,38,FALSE)</f>
        <v>99135.077040000004</v>
      </c>
      <c r="AC157" s="4">
        <f>VLOOKUP(G157,全部!C:AO,39,FALSE)</f>
        <v>74010.98</v>
      </c>
      <c r="AD157" s="4">
        <f>VLOOKUP(G157,全部!C:AP,40,FALSE)</f>
        <v>74010.98</v>
      </c>
      <c r="AE157" s="6">
        <f>VLOOKUP(G157,全部!C:AQ,41,FALSE)</f>
        <v>25124.097040000008</v>
      </c>
      <c r="AF157" s="4">
        <f>VLOOKUP(G157,全部!C:AR,42,FALSE)</f>
        <v>0</v>
      </c>
      <c r="AG157" s="7">
        <f>VLOOKUP(G157,全部!C:AS,43,FALSE)</f>
        <v>0</v>
      </c>
      <c r="AH157" s="64" t="str">
        <f>IF(VLOOKUP(G157,全部!C:AT,44,FALSE)=0,"",VLOOKUP(G157,全部!C:AT,44,FALSE))</f>
        <v/>
      </c>
      <c r="AI157">
        <v>0</v>
      </c>
      <c r="AJ157" s="3">
        <v>41912.6862384259</v>
      </c>
      <c r="AK157" s="2" t="s">
        <v>1858</v>
      </c>
    </row>
    <row r="158" spans="1:37" x14ac:dyDescent="0.15">
      <c r="A158" s="2" t="s">
        <v>1857</v>
      </c>
      <c r="B158">
        <v>1117</v>
      </c>
      <c r="C158" s="3">
        <v>41699</v>
      </c>
      <c r="D158" s="2" t="s">
        <v>37</v>
      </c>
      <c r="E158" s="2" t="s">
        <v>1856</v>
      </c>
      <c r="F158" s="2" t="s">
        <v>38</v>
      </c>
      <c r="G158" s="2" t="s">
        <v>358</v>
      </c>
      <c r="H158" s="2" t="s">
        <v>359</v>
      </c>
      <c r="I158" s="4">
        <f>VLOOKUP(G158,全部!C:M,11,FALSE)</f>
        <v>1054353.53</v>
      </c>
      <c r="J158" s="4">
        <f t="shared" si="2"/>
        <v>0</v>
      </c>
      <c r="K158" s="4">
        <f>VLOOKUP(计算!G158,全部!C:N,12,FALSE)</f>
        <v>0</v>
      </c>
      <c r="L158" s="5">
        <f>VLOOKUP(G158,全部!C:P,14,FALSE)</f>
        <v>0</v>
      </c>
      <c r="M158" s="5">
        <f>VLOOKUP(G158,全部!C:V,20,FALSE)*100</f>
        <v>3</v>
      </c>
      <c r="N158" s="6">
        <f>VLOOKUP(G158,全部!C:W,21,FALSE)</f>
        <v>31630.605899999999</v>
      </c>
      <c r="O158" s="4">
        <f>VLOOKUP(G158,全部!C:X,22,FALSE)</f>
        <v>31631</v>
      </c>
      <c r="P158" s="4">
        <f>VLOOKUP(G158,全部!C:Y,23,FALSE)</f>
        <v>31631</v>
      </c>
      <c r="Q158" s="6">
        <f>VLOOKUP(G158,全部!C:Z,24,FALSE)</f>
        <v>0</v>
      </c>
      <c r="R158" s="7">
        <f>VLOOKUP(G158,全部!C:AA,25,FALSE)</f>
        <v>200000</v>
      </c>
      <c r="S158" s="7">
        <f>VLOOKUP(G158,全部!C:AB,26,FALSE)</f>
        <v>200000</v>
      </c>
      <c r="T158" s="4">
        <f>VLOOKUP(计算!G158,全部!C:AC,27,FALSE)</f>
        <v>200000</v>
      </c>
      <c r="U158" s="4">
        <f>VLOOKUP(G158,全部!C:AD,28,FALSE)</f>
        <v>200000</v>
      </c>
      <c r="V158" s="6">
        <f>VLOOKUP(G158,全部!C:AE,29,FALSE)</f>
        <v>0.1896896954477878</v>
      </c>
      <c r="W158" s="4">
        <f>VLOOKUP(G158,全部!C:AF,30,FALSE)</f>
        <v>80000</v>
      </c>
      <c r="X158" s="4">
        <f>VLOOKUP(G158,全部!C:AG,31,FALSE)</f>
        <v>80000</v>
      </c>
      <c r="Y158" s="4">
        <f>VLOOKUP(计算!G158,全部!C:AH,32,FALSE)</f>
        <v>86800</v>
      </c>
      <c r="Z158" s="4">
        <f>VLOOKUP(G158,全部!C:AL,36,FALSE)</f>
        <v>86800</v>
      </c>
      <c r="AA158" s="4">
        <f>VLOOKUP(G158,全部!C:AM,37,FALSE)</f>
        <v>3.4000000000000002E-2</v>
      </c>
      <c r="AB158" s="6">
        <f>VLOOKUP(G158,全部!C:AN,38,FALSE)</f>
        <v>6800.0000000000009</v>
      </c>
      <c r="AC158" s="4">
        <f>VLOOKUP(G158,全部!C:AO,39,FALSE)</f>
        <v>6800</v>
      </c>
      <c r="AD158" s="4">
        <f>VLOOKUP(G158,全部!C:AP,40,FALSE)</f>
        <v>6800</v>
      </c>
      <c r="AE158" s="6">
        <f>VLOOKUP(G158,全部!C:AQ,41,FALSE)</f>
        <v>0</v>
      </c>
      <c r="AF158" s="4">
        <f>VLOOKUP(G158,全部!C:AR,42,FALSE)</f>
        <v>0</v>
      </c>
      <c r="AG158" s="7">
        <f>VLOOKUP(G158,全部!C:AS,43,FALSE)</f>
        <v>15</v>
      </c>
      <c r="AH158" s="64" t="str">
        <f>IF(VLOOKUP(G158,全部!C:AT,44,FALSE)=0,"",VLOOKUP(G158,全部!C:AT,44,FALSE))</f>
        <v>昌平</v>
      </c>
      <c r="AI158">
        <v>0</v>
      </c>
      <c r="AJ158" s="3">
        <v>41912.6862847222</v>
      </c>
      <c r="AK158" s="2" t="s">
        <v>1855</v>
      </c>
    </row>
    <row r="159" spans="1:37" x14ac:dyDescent="0.15">
      <c r="A159" s="2" t="s">
        <v>1854</v>
      </c>
      <c r="B159">
        <v>226</v>
      </c>
      <c r="C159" s="3">
        <v>41699</v>
      </c>
      <c r="D159" s="2" t="s">
        <v>37</v>
      </c>
      <c r="E159" s="2" t="s">
        <v>1853</v>
      </c>
      <c r="F159" s="2" t="s">
        <v>41</v>
      </c>
      <c r="G159" s="2" t="s">
        <v>356</v>
      </c>
      <c r="H159" s="2" t="s">
        <v>357</v>
      </c>
      <c r="I159" s="4">
        <f>VLOOKUP(G159,全部!C:M,11,FALSE)</f>
        <v>12750000</v>
      </c>
      <c r="J159" s="4">
        <f t="shared" si="2"/>
        <v>0</v>
      </c>
      <c r="K159" s="4">
        <f>VLOOKUP(计算!G159,全部!C:N,12,FALSE)</f>
        <v>0</v>
      </c>
      <c r="L159" s="5">
        <f>VLOOKUP(G159,全部!C:P,14,FALSE)</f>
        <v>0</v>
      </c>
      <c r="M159" s="5">
        <f>VLOOKUP(G159,全部!C:V,20,FALSE)*100</f>
        <v>3</v>
      </c>
      <c r="N159" s="6">
        <f>VLOOKUP(G159,全部!C:W,21,FALSE)</f>
        <v>382500</v>
      </c>
      <c r="O159" s="4">
        <f>VLOOKUP(G159,全部!C:X,22,FALSE)</f>
        <v>382500</v>
      </c>
      <c r="P159" s="4">
        <f>VLOOKUP(G159,全部!C:Y,23,FALSE)</f>
        <v>382500</v>
      </c>
      <c r="Q159" s="6">
        <f>VLOOKUP(G159,全部!C:Z,24,FALSE)</f>
        <v>0</v>
      </c>
      <c r="R159" s="7">
        <f>VLOOKUP(G159,全部!C:AA,25,FALSE)</f>
        <v>0</v>
      </c>
      <c r="S159" s="7">
        <f>VLOOKUP(G159,全部!C:AB,26,FALSE)</f>
        <v>0</v>
      </c>
      <c r="T159" s="4">
        <f>VLOOKUP(计算!G159,全部!C:AC,27,FALSE)</f>
        <v>7596524.4199999999</v>
      </c>
      <c r="U159" s="4">
        <f>VLOOKUP(G159,全部!C:AD,28,FALSE)</f>
        <v>7596524.4199999999</v>
      </c>
      <c r="V159" s="6">
        <f>VLOOKUP(G159,全部!C:AE,29,FALSE)</f>
        <v>0.59580583686274513</v>
      </c>
      <c r="W159" s="4">
        <f>VLOOKUP(G159,全部!C:AF,30,FALSE)</f>
        <v>0</v>
      </c>
      <c r="X159" s="4">
        <f>VLOOKUP(G159,全部!C:AG,31,FALSE)</f>
        <v>0</v>
      </c>
      <c r="Y159" s="4">
        <f>VLOOKUP(计算!G159,全部!C:AH,32,FALSE)</f>
        <v>6030422.2000000002</v>
      </c>
      <c r="Z159" s="4">
        <f>VLOOKUP(G159,全部!C:AL,36,FALSE)</f>
        <v>6030422.2000000002</v>
      </c>
      <c r="AA159" s="4">
        <f>VLOOKUP(G159,全部!C:AM,37,FALSE)</f>
        <v>0</v>
      </c>
      <c r="AB159" s="6">
        <f>VLOOKUP(G159,全部!C:AN,38,FALSE)</f>
        <v>297937.5</v>
      </c>
      <c r="AC159" s="4">
        <f>VLOOKUP(G159,全部!C:AO,39,FALSE)</f>
        <v>297937.5</v>
      </c>
      <c r="AD159" s="4">
        <f>VLOOKUP(G159,全部!C:AP,40,FALSE)</f>
        <v>297937.5</v>
      </c>
      <c r="AE159" s="6">
        <f>VLOOKUP(G159,全部!C:AQ,41,FALSE)</f>
        <v>0</v>
      </c>
      <c r="AF159" s="4">
        <f>VLOOKUP(G159,全部!C:AR,42,FALSE)</f>
        <v>0</v>
      </c>
      <c r="AG159" s="7">
        <f>VLOOKUP(G159,全部!C:AS,43,FALSE)</f>
        <v>0</v>
      </c>
      <c r="AH159" s="64" t="str">
        <f>IF(VLOOKUP(G159,全部!C:AT,44,FALSE)=0,"",VLOOKUP(G159,全部!C:AT,44,FALSE))</f>
        <v/>
      </c>
      <c r="AI159">
        <v>0</v>
      </c>
      <c r="AJ159" s="3">
        <v>41912.6862384259</v>
      </c>
      <c r="AK159" s="2" t="s">
        <v>1852</v>
      </c>
    </row>
    <row r="160" spans="1:37" x14ac:dyDescent="0.15">
      <c r="A160" s="2" t="s">
        <v>1851</v>
      </c>
      <c r="B160">
        <v>1109</v>
      </c>
      <c r="C160" s="3">
        <v>41699</v>
      </c>
      <c r="D160" s="2" t="s">
        <v>37</v>
      </c>
      <c r="E160" s="2" t="s">
        <v>1850</v>
      </c>
      <c r="F160" s="2" t="s">
        <v>38</v>
      </c>
      <c r="G160" s="2" t="s">
        <v>354</v>
      </c>
      <c r="H160" s="2" t="s">
        <v>355</v>
      </c>
      <c r="I160" s="4">
        <f>VLOOKUP(G160,全部!C:M,11,FALSE)</f>
        <v>261648.41</v>
      </c>
      <c r="J160" s="4">
        <f t="shared" si="2"/>
        <v>0</v>
      </c>
      <c r="K160" s="4">
        <f>VLOOKUP(计算!G160,全部!C:N,12,FALSE)</f>
        <v>0</v>
      </c>
      <c r="L160" s="5">
        <f>VLOOKUP(G160,全部!C:P,14,FALSE)</f>
        <v>0</v>
      </c>
      <c r="M160" s="5">
        <f>VLOOKUP(G160,全部!C:V,20,FALSE)*100</f>
        <v>3.5999999999999996</v>
      </c>
      <c r="N160" s="6">
        <f>VLOOKUP(G160,全部!C:W,21,FALSE)</f>
        <v>9419.3427599999995</v>
      </c>
      <c r="O160" s="4">
        <f>VLOOKUP(G160,全部!C:X,22,FALSE)</f>
        <v>9419</v>
      </c>
      <c r="P160" s="4">
        <f>VLOOKUP(G160,全部!C:Y,23,FALSE)</f>
        <v>9419</v>
      </c>
      <c r="Q160" s="6">
        <f>VLOOKUP(G160,全部!C:Z,24,FALSE)</f>
        <v>0</v>
      </c>
      <c r="R160" s="7">
        <f>VLOOKUP(G160,全部!C:AA,25,FALSE)</f>
        <v>248565.99</v>
      </c>
      <c r="S160" s="7">
        <f>VLOOKUP(G160,全部!C:AB,26,FALSE)</f>
        <v>248565.99</v>
      </c>
      <c r="T160" s="4">
        <f>VLOOKUP(计算!G160,全部!C:AC,27,FALSE)</f>
        <v>248565.99</v>
      </c>
      <c r="U160" s="4">
        <f>VLOOKUP(G160,全部!C:AD,28,FALSE)</f>
        <v>248565.99</v>
      </c>
      <c r="V160" s="6">
        <f>VLOOKUP(G160,全部!C:AE,29,FALSE)</f>
        <v>0.95000000191096134</v>
      </c>
      <c r="W160" s="4">
        <f>VLOOKUP(G160,全部!C:AF,30,FALSE)</f>
        <v>109977</v>
      </c>
      <c r="X160" s="4">
        <f>VLOOKUP(G160,全部!C:AG,31,FALSE)</f>
        <v>109977</v>
      </c>
      <c r="Y160" s="4">
        <f>VLOOKUP(计算!G160,全部!C:AH,32,FALSE)</f>
        <v>248518</v>
      </c>
      <c r="Z160" s="4">
        <f>VLOOKUP(G160,全部!C:AL,36,FALSE)</f>
        <v>248518</v>
      </c>
      <c r="AA160" s="4">
        <f>VLOOKUP(G160,全部!C:AM,37,FALSE)</f>
        <v>3.4000000000000002E-2</v>
      </c>
      <c r="AB160" s="6">
        <f>VLOOKUP(G160,全部!C:AN,38,FALSE)</f>
        <v>8451.2436600000001</v>
      </c>
      <c r="AC160" s="4">
        <f>VLOOKUP(G160,全部!C:AO,39,FALSE)</f>
        <v>8541</v>
      </c>
      <c r="AD160" s="4">
        <f>VLOOKUP(G160,全部!C:AP,40,FALSE)</f>
        <v>8541</v>
      </c>
      <c r="AE160" s="6">
        <f>VLOOKUP(G160,全部!C:AQ,41,FALSE)</f>
        <v>0</v>
      </c>
      <c r="AF160" s="4">
        <f>VLOOKUP(G160,全部!C:AR,42,FALSE)</f>
        <v>0</v>
      </c>
      <c r="AG160" s="7">
        <f>VLOOKUP(G160,全部!C:AS,43,FALSE)</f>
        <v>0</v>
      </c>
      <c r="AH160" s="64" t="str">
        <f>IF(VLOOKUP(G160,全部!C:AT,44,FALSE)=0,"",VLOOKUP(G160,全部!C:AT,44,FALSE))</f>
        <v/>
      </c>
      <c r="AI160">
        <v>0</v>
      </c>
      <c r="AJ160" s="3">
        <v>41912.6862847222</v>
      </c>
      <c r="AK160" s="2" t="s">
        <v>1849</v>
      </c>
    </row>
    <row r="161" spans="1:37" x14ac:dyDescent="0.15">
      <c r="A161" s="2" t="s">
        <v>1848</v>
      </c>
      <c r="B161">
        <v>1126</v>
      </c>
      <c r="C161" s="3">
        <v>41730</v>
      </c>
      <c r="D161" s="2" t="s">
        <v>37</v>
      </c>
      <c r="E161" s="2" t="s">
        <v>1847</v>
      </c>
      <c r="F161" s="2" t="s">
        <v>38</v>
      </c>
      <c r="G161" s="2" t="s">
        <v>364</v>
      </c>
      <c r="H161" s="2" t="s">
        <v>365</v>
      </c>
      <c r="I161" s="4">
        <f>VLOOKUP(G161,全部!C:M,11,FALSE)</f>
        <v>1393840</v>
      </c>
      <c r="J161" s="4">
        <f t="shared" si="2"/>
        <v>853433.70000000007</v>
      </c>
      <c r="K161" s="4">
        <f>VLOOKUP(计算!G161,全部!C:N,12,FALSE)</f>
        <v>853433.70000000007</v>
      </c>
      <c r="L161" s="5">
        <f>VLOOKUP(G161,全部!C:P,14,FALSE)</f>
        <v>0</v>
      </c>
      <c r="M161" s="5">
        <f>VLOOKUP(G161,全部!C:V,20,FALSE)*100</f>
        <v>3.5999999999999996</v>
      </c>
      <c r="N161" s="6">
        <f>VLOOKUP(G161,全部!C:W,21,FALSE)</f>
        <v>50178.239999999998</v>
      </c>
      <c r="O161" s="4">
        <f>VLOOKUP(G161,全部!C:X,22,FALSE)</f>
        <v>50613</v>
      </c>
      <c r="P161" s="4">
        <f>VLOOKUP(G161,全部!C:Y,23,FALSE)</f>
        <v>50613</v>
      </c>
      <c r="Q161" s="6">
        <f>VLOOKUP(G161,全部!C:Z,24,FALSE)</f>
        <v>-434.76000000000204</v>
      </c>
      <c r="R161" s="7">
        <f>VLOOKUP(G161,全部!C:AA,25,FALSE)</f>
        <v>1142434.7100000002</v>
      </c>
      <c r="S161" s="7">
        <f>VLOOKUP(G161,全部!C:AB,26,FALSE)</f>
        <v>1142434.71</v>
      </c>
      <c r="T161" s="4">
        <f>VLOOKUP(计算!G161,全部!C:AC,27,FALSE)</f>
        <v>1142434.71</v>
      </c>
      <c r="U161" s="4">
        <f>VLOOKUP(G161,全部!C:AD,28,FALSE)</f>
        <v>1142434.71</v>
      </c>
      <c r="V161" s="6">
        <f>VLOOKUP(G161,全部!C:AE,29,FALSE)</f>
        <v>0.50836473990684794</v>
      </c>
      <c r="W161" s="4">
        <f>VLOOKUP(G161,全部!C:AF,30,FALSE)</f>
        <v>932058.05</v>
      </c>
      <c r="X161" s="4">
        <f>VLOOKUP(G161,全部!C:AG,31,FALSE)</f>
        <v>932058.05</v>
      </c>
      <c r="Y161" s="4">
        <f>VLOOKUP(计算!G161,全部!C:AH,32,FALSE)</f>
        <v>972572.05</v>
      </c>
      <c r="Z161" s="4">
        <f>VLOOKUP(G161,全部!C:AL,36,FALSE)</f>
        <v>972572.05</v>
      </c>
      <c r="AA161" s="4">
        <f>VLOOKUP(G161,全部!C:AM,37,FALSE)</f>
        <v>3.4000000000000002E-2</v>
      </c>
      <c r="AB161" s="6">
        <f>VLOOKUP(G161,全部!C:AN,38,FALSE)</f>
        <v>38842.780140000003</v>
      </c>
      <c r="AC161" s="4">
        <f>VLOOKUP(G161,全部!C:AO,39,FALSE)</f>
        <v>38842</v>
      </c>
      <c r="AD161" s="4">
        <f>VLOOKUP(G161,全部!C:AP,40,FALSE)</f>
        <v>38842</v>
      </c>
      <c r="AE161" s="6">
        <f>VLOOKUP(G161,全部!C:AQ,41,FALSE)</f>
        <v>0</v>
      </c>
      <c r="AF161" s="4">
        <f>VLOOKUP(G161,全部!C:AR,42,FALSE)</f>
        <v>0</v>
      </c>
      <c r="AG161" s="7">
        <f>VLOOKUP(G161,全部!C:AS,43,FALSE)</f>
        <v>20</v>
      </c>
      <c r="AH161" s="64" t="str">
        <f>IF(VLOOKUP(G161,全部!C:AT,44,FALSE)=0,"",VLOOKUP(G161,全部!C:AT,44,FALSE))</f>
        <v>三河</v>
      </c>
      <c r="AI161">
        <v>0</v>
      </c>
      <c r="AJ161" s="3">
        <v>41912.6862847222</v>
      </c>
      <c r="AK161" s="2" t="s">
        <v>1846</v>
      </c>
    </row>
    <row r="162" spans="1:37" x14ac:dyDescent="0.15">
      <c r="A162" s="2" t="s">
        <v>1845</v>
      </c>
      <c r="B162">
        <v>231</v>
      </c>
      <c r="C162" s="3">
        <v>41730</v>
      </c>
      <c r="D162" s="2" t="s">
        <v>37</v>
      </c>
      <c r="E162" s="2" t="s">
        <v>1844</v>
      </c>
      <c r="F162" s="2" t="s">
        <v>41</v>
      </c>
      <c r="G162" s="2" t="s">
        <v>362</v>
      </c>
      <c r="H162" s="2" t="s">
        <v>363</v>
      </c>
      <c r="I162" s="4">
        <f>VLOOKUP(G162,全部!C:M,11,FALSE)</f>
        <v>50000</v>
      </c>
      <c r="J162" s="4">
        <f t="shared" si="2"/>
        <v>0</v>
      </c>
      <c r="K162" s="4">
        <f>VLOOKUP(计算!G162,全部!C:N,12,FALSE)</f>
        <v>0</v>
      </c>
      <c r="L162" s="5">
        <f>VLOOKUP(G162,全部!C:P,14,FALSE)</f>
        <v>0</v>
      </c>
      <c r="M162" s="5">
        <f>VLOOKUP(G162,全部!C:V,20,FALSE)*100</f>
        <v>8.6</v>
      </c>
      <c r="N162" s="6">
        <f>VLOOKUP(G162,全部!C:W,21,FALSE)</f>
        <v>4300</v>
      </c>
      <c r="O162" s="4">
        <f>VLOOKUP(G162,全部!C:X,22,FALSE)</f>
        <v>4300</v>
      </c>
      <c r="P162" s="4">
        <f>VLOOKUP(G162,全部!C:Y,23,FALSE)</f>
        <v>4300</v>
      </c>
      <c r="Q162" s="6">
        <f>VLOOKUP(G162,全部!C:Z,24,FALSE)</f>
        <v>0</v>
      </c>
      <c r="R162" s="7">
        <f>VLOOKUP(G162,全部!C:AA,25,FALSE)</f>
        <v>0</v>
      </c>
      <c r="S162" s="7">
        <f>VLOOKUP(G162,全部!C:AB,26,FALSE)</f>
        <v>0</v>
      </c>
      <c r="T162" s="4">
        <f>VLOOKUP(计算!G162,全部!C:AC,27,FALSE)</f>
        <v>40000</v>
      </c>
      <c r="U162" s="4">
        <f>VLOOKUP(G162,全部!C:AD,28,FALSE)</f>
        <v>40000</v>
      </c>
      <c r="V162" s="6">
        <f>VLOOKUP(G162,全部!C:AE,29,FALSE)</f>
        <v>0.8</v>
      </c>
      <c r="W162" s="4">
        <f>VLOOKUP(G162,全部!C:AF,30,FALSE)</f>
        <v>0</v>
      </c>
      <c r="X162" s="4">
        <f>VLOOKUP(G162,全部!C:AG,31,FALSE)</f>
        <v>0</v>
      </c>
      <c r="Y162" s="4">
        <f>VLOOKUP(计算!G162,全部!C:AH,32,FALSE)</f>
        <v>40000</v>
      </c>
      <c r="Z162" s="4">
        <f>VLOOKUP(G162,全部!C:AL,36,FALSE)</f>
        <v>40000</v>
      </c>
      <c r="AA162" s="4">
        <f>VLOOKUP(G162,全部!C:AM,37,FALSE)</f>
        <v>3.4000000000000002E-2</v>
      </c>
      <c r="AB162" s="6">
        <f>VLOOKUP(G162,全部!C:AN,38,FALSE)</f>
        <v>1700.0000000000002</v>
      </c>
      <c r="AC162" s="4">
        <f>VLOOKUP(G162,全部!C:AO,39,FALSE)</f>
        <v>1700</v>
      </c>
      <c r="AD162" s="4">
        <f>VLOOKUP(G162,全部!C:AP,40,FALSE)</f>
        <v>1700</v>
      </c>
      <c r="AE162" s="6">
        <f>VLOOKUP(G162,全部!C:AQ,41,FALSE)</f>
        <v>0</v>
      </c>
      <c r="AF162" s="4">
        <f>VLOOKUP(G162,全部!C:AR,42,FALSE)</f>
        <v>0</v>
      </c>
      <c r="AG162" s="7">
        <f>VLOOKUP(G162,全部!C:AS,43,FALSE)</f>
        <v>0</v>
      </c>
      <c r="AH162" s="64" t="str">
        <f>IF(VLOOKUP(G162,全部!C:AT,44,FALSE)=0,"",VLOOKUP(G162,全部!C:AT,44,FALSE))</f>
        <v/>
      </c>
      <c r="AI162">
        <v>0</v>
      </c>
      <c r="AJ162" s="3">
        <v>41912.6862384259</v>
      </c>
      <c r="AK162" s="2" t="s">
        <v>1843</v>
      </c>
    </row>
    <row r="163" spans="1:37" x14ac:dyDescent="0.15">
      <c r="A163" s="2" t="s">
        <v>1842</v>
      </c>
      <c r="B163">
        <v>1133</v>
      </c>
      <c r="C163" s="3">
        <v>41730</v>
      </c>
      <c r="D163" s="2" t="s">
        <v>37</v>
      </c>
      <c r="E163" s="2" t="s">
        <v>1841</v>
      </c>
      <c r="F163" s="2" t="s">
        <v>38</v>
      </c>
      <c r="G163" s="2" t="s">
        <v>360</v>
      </c>
      <c r="H163" s="2" t="s">
        <v>361</v>
      </c>
      <c r="I163" s="4">
        <f>VLOOKUP(G163,全部!C:M,11,FALSE)</f>
        <v>1470000</v>
      </c>
      <c r="J163" s="4">
        <f t="shared" si="2"/>
        <v>0</v>
      </c>
      <c r="K163" s="4">
        <f>VLOOKUP(计算!G163,全部!C:N,12,FALSE)</f>
        <v>0</v>
      </c>
      <c r="L163" s="5">
        <f>VLOOKUP(G163,全部!C:P,14,FALSE)</f>
        <v>0</v>
      </c>
      <c r="M163" s="5">
        <f>VLOOKUP(G163,全部!C:V,20,FALSE)*100</f>
        <v>3.5999999999999996</v>
      </c>
      <c r="N163" s="6">
        <f>VLOOKUP(G163,全部!C:W,21,FALSE)</f>
        <v>52919.999999999993</v>
      </c>
      <c r="O163" s="4">
        <f>VLOOKUP(G163,全部!C:X,22,FALSE)</f>
        <v>0</v>
      </c>
      <c r="P163" s="4">
        <f>VLOOKUP(G163,全部!C:Y,23,FALSE)</f>
        <v>0</v>
      </c>
      <c r="Q163" s="6">
        <f>VLOOKUP(G163,全部!C:Z,24,FALSE)</f>
        <v>52919.999999999993</v>
      </c>
      <c r="R163" s="7">
        <f>VLOOKUP(G163,全部!C:AA,25,FALSE)</f>
        <v>1176000.01</v>
      </c>
      <c r="S163" s="7">
        <f>VLOOKUP(G163,全部!C:AB,26,FALSE)</f>
        <v>1176000</v>
      </c>
      <c r="T163" s="4">
        <f>VLOOKUP(计算!G163,全部!C:AC,27,FALSE)</f>
        <v>664033.28000000003</v>
      </c>
      <c r="U163" s="4">
        <f>VLOOKUP(G163,全部!C:AD,28,FALSE)</f>
        <v>664033.28000000003</v>
      </c>
      <c r="V163" s="6">
        <f>VLOOKUP(G163,全部!C:AE,29,FALSE)</f>
        <v>0.45172331972789115</v>
      </c>
      <c r="W163" s="4">
        <f>VLOOKUP(G163,全部!C:AF,30,FALSE)</f>
        <v>243938.24</v>
      </c>
      <c r="X163" s="4">
        <f>VLOOKUP(G163,全部!C:AG,31,FALSE)</f>
        <v>243938.24</v>
      </c>
      <c r="Y163" s="4">
        <f>VLOOKUP(计算!G163,全部!C:AH,32,FALSE)</f>
        <v>283922.24</v>
      </c>
      <c r="Z163" s="4">
        <f>VLOOKUP(G163,全部!C:AL,36,FALSE)</f>
        <v>283922.24</v>
      </c>
      <c r="AA163" s="4">
        <f>VLOOKUP(G163,全部!C:AM,37,FALSE)</f>
        <v>3.4000000000000002E-2</v>
      </c>
      <c r="AB163" s="6">
        <f>VLOOKUP(G163,全部!C:AN,38,FALSE)</f>
        <v>39984</v>
      </c>
      <c r="AC163" s="4">
        <f>VLOOKUP(G163,全部!C:AO,39,FALSE)</f>
        <v>39984</v>
      </c>
      <c r="AD163" s="4">
        <f>VLOOKUP(G163,全部!C:AP,40,FALSE)</f>
        <v>39984</v>
      </c>
      <c r="AE163" s="6">
        <f>VLOOKUP(G163,全部!C:AQ,41,FALSE)</f>
        <v>0</v>
      </c>
      <c r="AF163" s="4">
        <f>VLOOKUP(G163,全部!C:AR,42,FALSE)</f>
        <v>0</v>
      </c>
      <c r="AG163" s="7">
        <f>VLOOKUP(G163,全部!C:AS,43,FALSE)</f>
        <v>1</v>
      </c>
      <c r="AH163" s="64" t="str">
        <f>IF(VLOOKUP(G163,全部!C:AT,44,FALSE)=0,"",VLOOKUP(G163,全部!C:AT,44,FALSE))</f>
        <v>三河</v>
      </c>
      <c r="AI163">
        <v>0</v>
      </c>
      <c r="AJ163" s="3">
        <v>41912.6862847222</v>
      </c>
      <c r="AK163" s="2" t="s">
        <v>1840</v>
      </c>
    </row>
    <row r="164" spans="1:37" x14ac:dyDescent="0.15">
      <c r="A164" s="2" t="s">
        <v>1839</v>
      </c>
      <c r="B164">
        <v>1151</v>
      </c>
      <c r="C164" s="3">
        <v>41744</v>
      </c>
      <c r="D164" s="2" t="s">
        <v>37</v>
      </c>
      <c r="E164" s="2" t="s">
        <v>1838</v>
      </c>
      <c r="F164" s="2" t="s">
        <v>38</v>
      </c>
      <c r="G164" s="2" t="s">
        <v>366</v>
      </c>
      <c r="H164" s="2" t="s">
        <v>367</v>
      </c>
      <c r="I164" s="4">
        <f>VLOOKUP(G164,全部!C:M,11,FALSE)</f>
        <v>1414102.49</v>
      </c>
      <c r="J164" s="4">
        <f t="shared" si="2"/>
        <v>0</v>
      </c>
      <c r="K164" s="4">
        <f>VLOOKUP(计算!G164,全部!C:N,12,FALSE)</f>
        <v>0</v>
      </c>
      <c r="L164" s="5">
        <f>VLOOKUP(G164,全部!C:P,14,FALSE)</f>
        <v>0</v>
      </c>
      <c r="M164" s="5">
        <f>VLOOKUP(G164,全部!C:V,20,FALSE)*100</f>
        <v>3.5999999999999996</v>
      </c>
      <c r="N164" s="6">
        <f>VLOOKUP(G164,全部!C:W,21,FALSE)</f>
        <v>50907.689639999997</v>
      </c>
      <c r="O164" s="4">
        <f>VLOOKUP(G164,全部!C:X,22,FALSE)</f>
        <v>50908</v>
      </c>
      <c r="P164" s="4">
        <f>VLOOKUP(G164,全部!C:Y,23,FALSE)</f>
        <v>50908</v>
      </c>
      <c r="Q164" s="6">
        <f>VLOOKUP(G164,全部!C:Z,24,FALSE)</f>
        <v>0</v>
      </c>
      <c r="R164" s="7">
        <f>VLOOKUP(G164,全部!C:AA,25,FALSE)</f>
        <v>0</v>
      </c>
      <c r="S164" s="7">
        <f>VLOOKUP(G164,全部!C:AB,26,FALSE)</f>
        <v>0</v>
      </c>
      <c r="T164" s="4">
        <f>VLOOKUP(计算!G164,全部!C:AC,27,FALSE)</f>
        <v>0</v>
      </c>
      <c r="U164" s="4">
        <f>VLOOKUP(G164,全部!C:AD,28,FALSE)</f>
        <v>0</v>
      </c>
      <c r="V164" s="6">
        <f>VLOOKUP(G164,全部!C:AE,29,FALSE)</f>
        <v>0</v>
      </c>
      <c r="W164" s="4">
        <f>VLOOKUP(G164,全部!C:AF,30,FALSE)</f>
        <v>0</v>
      </c>
      <c r="X164" s="4">
        <f>VLOOKUP(G164,全部!C:AG,31,FALSE)</f>
        <v>0</v>
      </c>
      <c r="Y164" s="4">
        <f>VLOOKUP(计算!G164,全部!C:AH,32,FALSE)</f>
        <v>0</v>
      </c>
      <c r="Z164" s="4">
        <f>VLOOKUP(G164,全部!C:AL,36,FALSE)</f>
        <v>0</v>
      </c>
      <c r="AA164" s="4">
        <f>VLOOKUP(G164,全部!C:AM,37,FALSE)</f>
        <v>0</v>
      </c>
      <c r="AB164" s="6">
        <f>VLOOKUP(G164,全部!C:AN,38,FALSE)</f>
        <v>0</v>
      </c>
      <c r="AC164" s="4">
        <f>VLOOKUP(G164,全部!C:AO,39,FALSE)</f>
        <v>0</v>
      </c>
      <c r="AD164" s="4">
        <f>VLOOKUP(G164,全部!C:AP,40,FALSE)</f>
        <v>0</v>
      </c>
      <c r="AE164" s="6">
        <f>VLOOKUP(G164,全部!C:AQ,41,FALSE)</f>
        <v>0</v>
      </c>
      <c r="AF164" s="4">
        <f>VLOOKUP(G164,全部!C:AR,42,FALSE)</f>
        <v>0</v>
      </c>
      <c r="AG164" s="7">
        <f>VLOOKUP(G164,全部!C:AS,43,FALSE)</f>
        <v>15</v>
      </c>
      <c r="AH164" s="64" t="str">
        <f>IF(VLOOKUP(G164,全部!C:AT,44,FALSE)=0,"",VLOOKUP(G164,全部!C:AT,44,FALSE))</f>
        <v>管庄</v>
      </c>
      <c r="AI164">
        <v>0</v>
      </c>
      <c r="AJ164" s="3">
        <v>41912.6862847222</v>
      </c>
      <c r="AK164" s="2" t="s">
        <v>1837</v>
      </c>
    </row>
    <row r="165" spans="1:37" x14ac:dyDescent="0.15">
      <c r="A165" s="2" t="s">
        <v>1836</v>
      </c>
      <c r="B165">
        <v>1141</v>
      </c>
      <c r="C165" s="3">
        <v>41745</v>
      </c>
      <c r="D165" s="2" t="s">
        <v>37</v>
      </c>
      <c r="E165" s="2" t="s">
        <v>1835</v>
      </c>
      <c r="F165" s="2" t="s">
        <v>38</v>
      </c>
      <c r="G165" s="2" t="s">
        <v>368</v>
      </c>
      <c r="H165" s="2" t="s">
        <v>369</v>
      </c>
      <c r="I165" s="4">
        <f>VLOOKUP(G165,全部!C:M,11,FALSE)</f>
        <v>1287679</v>
      </c>
      <c r="J165" s="4">
        <f t="shared" si="2"/>
        <v>0</v>
      </c>
      <c r="K165" s="4">
        <f>VLOOKUP(计算!G165,全部!C:N,12,FALSE)</f>
        <v>0</v>
      </c>
      <c r="L165" s="5">
        <f>VLOOKUP(G165,全部!C:P,14,FALSE)</f>
        <v>0</v>
      </c>
      <c r="M165" s="5">
        <f>VLOOKUP(G165,全部!C:V,20,FALSE)*100</f>
        <v>3.5999999999999996</v>
      </c>
      <c r="N165" s="6">
        <f>VLOOKUP(G165,全部!C:W,21,FALSE)</f>
        <v>46356.443999999996</v>
      </c>
      <c r="O165" s="4">
        <f>VLOOKUP(G165,全部!C:X,22,FALSE)</f>
        <v>46356</v>
      </c>
      <c r="P165" s="4">
        <f>VLOOKUP(G165,全部!C:Y,23,FALSE)</f>
        <v>46356</v>
      </c>
      <c r="Q165" s="6">
        <f>VLOOKUP(G165,全部!C:Z,24,FALSE)</f>
        <v>0</v>
      </c>
      <c r="R165" s="7">
        <f>VLOOKUP(G165,全部!C:AA,25,FALSE)</f>
        <v>400000</v>
      </c>
      <c r="S165" s="7">
        <f>VLOOKUP(G165,全部!C:AB,26,FALSE)</f>
        <v>400000</v>
      </c>
      <c r="T165" s="4">
        <f>VLOOKUP(计算!G165,全部!C:AC,27,FALSE)</f>
        <v>400000</v>
      </c>
      <c r="U165" s="4">
        <f>VLOOKUP(G165,全部!C:AD,28,FALSE)</f>
        <v>400000</v>
      </c>
      <c r="V165" s="6">
        <f>VLOOKUP(G165,全部!C:AE,29,FALSE)</f>
        <v>0.31063642413986714</v>
      </c>
      <c r="W165" s="4">
        <f>VLOOKUP(G165,全部!C:AF,30,FALSE)</f>
        <v>353418.72</v>
      </c>
      <c r="X165" s="4">
        <f>VLOOKUP(G165,全部!C:AG,31,FALSE)</f>
        <v>353418.72</v>
      </c>
      <c r="Y165" s="4">
        <f>VLOOKUP(计算!G165,全部!C:AH,32,FALSE)</f>
        <v>367018.72</v>
      </c>
      <c r="Z165" s="4">
        <f>VLOOKUP(G165,全部!C:AL,36,FALSE)</f>
        <v>367018.72</v>
      </c>
      <c r="AA165" s="4">
        <f>VLOOKUP(G165,全部!C:AM,37,FALSE)</f>
        <v>3.4000000000000002E-2</v>
      </c>
      <c r="AB165" s="6">
        <f>VLOOKUP(G165,全部!C:AN,38,FALSE)</f>
        <v>13600.000000000002</v>
      </c>
      <c r="AC165" s="4">
        <f>VLOOKUP(G165,全部!C:AO,39,FALSE)</f>
        <v>13600</v>
      </c>
      <c r="AD165" s="4">
        <f>VLOOKUP(G165,全部!C:AP,40,FALSE)</f>
        <v>13600</v>
      </c>
      <c r="AE165" s="6">
        <f>VLOOKUP(G165,全部!C:AQ,41,FALSE)</f>
        <v>0</v>
      </c>
      <c r="AF165" s="4">
        <f>VLOOKUP(G165,全部!C:AR,42,FALSE)</f>
        <v>0</v>
      </c>
      <c r="AG165" s="7">
        <f>VLOOKUP(G165,全部!C:AS,43,FALSE)</f>
        <v>20</v>
      </c>
      <c r="AH165" s="64" t="str">
        <f>IF(VLOOKUP(G165,全部!C:AT,44,FALSE)=0,"",VLOOKUP(G165,全部!C:AT,44,FALSE))</f>
        <v>三河</v>
      </c>
      <c r="AI165">
        <v>0</v>
      </c>
      <c r="AJ165" s="3">
        <v>41912.6862847222</v>
      </c>
      <c r="AK165" s="2" t="s">
        <v>1834</v>
      </c>
    </row>
    <row r="166" spans="1:37" x14ac:dyDescent="0.15">
      <c r="A166" s="2" t="s">
        <v>1833</v>
      </c>
      <c r="B166">
        <v>1148</v>
      </c>
      <c r="C166" s="3">
        <v>41747</v>
      </c>
      <c r="D166" s="2" t="s">
        <v>37</v>
      </c>
      <c r="E166" s="2" t="s">
        <v>1832</v>
      </c>
      <c r="F166" s="2" t="s">
        <v>38</v>
      </c>
      <c r="G166" s="2" t="s">
        <v>370</v>
      </c>
      <c r="H166" s="2" t="s">
        <v>371</v>
      </c>
      <c r="I166" s="4">
        <f>VLOOKUP(G166,全部!C:M,11,FALSE)</f>
        <v>420488.3</v>
      </c>
      <c r="J166" s="4">
        <f t="shared" si="2"/>
        <v>0</v>
      </c>
      <c r="K166" s="4">
        <f>VLOOKUP(计算!G166,全部!C:N,12,FALSE)</f>
        <v>0</v>
      </c>
      <c r="L166" s="5">
        <f>VLOOKUP(G166,全部!C:P,14,FALSE)</f>
        <v>0</v>
      </c>
      <c r="M166" s="5">
        <f>VLOOKUP(G166,全部!C:V,20,FALSE)*100</f>
        <v>3.5999999999999996</v>
      </c>
      <c r="N166" s="6">
        <f>VLOOKUP(G166,全部!C:W,21,FALSE)</f>
        <v>15137.578799999999</v>
      </c>
      <c r="O166" s="4">
        <f>VLOOKUP(G166,全部!C:X,22,FALSE)</f>
        <v>0</v>
      </c>
      <c r="P166" s="4">
        <f>VLOOKUP(G166,全部!C:Y,23,FALSE)</f>
        <v>0</v>
      </c>
      <c r="Q166" s="6">
        <f>VLOOKUP(G166,全部!C:Z,24,FALSE)</f>
        <v>15137.578799999999</v>
      </c>
      <c r="R166" s="7">
        <f>VLOOKUP(G166,全部!C:AA,25,FALSE)</f>
        <v>378000</v>
      </c>
      <c r="S166" s="7">
        <f>VLOOKUP(G166,全部!C:AB,26,FALSE)</f>
        <v>378000</v>
      </c>
      <c r="T166" s="4">
        <f>VLOOKUP(计算!G166,全部!C:AC,27,FALSE)</f>
        <v>378000</v>
      </c>
      <c r="U166" s="4">
        <f>VLOOKUP(G166,全部!C:AD,28,FALSE)</f>
        <v>378000</v>
      </c>
      <c r="V166" s="6">
        <f>VLOOKUP(G166,全部!C:AE,29,FALSE)</f>
        <v>0.89895485795918695</v>
      </c>
      <c r="W166" s="4">
        <f>VLOOKUP(G166,全部!C:AF,30,FALSE)</f>
        <v>318684.49</v>
      </c>
      <c r="X166" s="4">
        <f>VLOOKUP(G166,全部!C:AG,31,FALSE)</f>
        <v>318684.49</v>
      </c>
      <c r="Y166" s="4">
        <f>VLOOKUP(计算!G166,全部!C:AH,32,FALSE)</f>
        <v>351536.49</v>
      </c>
      <c r="Z166" s="4">
        <f>VLOOKUP(G166,全部!C:AL,36,FALSE)</f>
        <v>351536.49</v>
      </c>
      <c r="AA166" s="4">
        <f>VLOOKUP(G166,全部!C:AM,37,FALSE)</f>
        <v>3.4000000000000002E-2</v>
      </c>
      <c r="AB166" s="6">
        <f>VLOOKUP(G166,全部!C:AN,38,FALSE)</f>
        <v>12852.000000000002</v>
      </c>
      <c r="AC166" s="4">
        <f>VLOOKUP(G166,全部!C:AO,39,FALSE)</f>
        <v>12852</v>
      </c>
      <c r="AD166" s="4">
        <f>VLOOKUP(G166,全部!C:AP,40,FALSE)</f>
        <v>12852</v>
      </c>
      <c r="AE166" s="6">
        <f>VLOOKUP(G166,全部!C:AQ,41,FALSE)</f>
        <v>0</v>
      </c>
      <c r="AF166" s="4">
        <f>VLOOKUP(G166,全部!C:AR,42,FALSE)</f>
        <v>0</v>
      </c>
      <c r="AG166" s="7">
        <f>VLOOKUP(G166,全部!C:AS,43,FALSE)</f>
        <v>5</v>
      </c>
      <c r="AH166" s="64" t="str">
        <f>IF(VLOOKUP(G166,全部!C:AT,44,FALSE)=0,"",VLOOKUP(G166,全部!C:AT,44,FALSE))</f>
        <v>三河</v>
      </c>
      <c r="AI166">
        <v>0</v>
      </c>
      <c r="AJ166" s="3">
        <v>41912.6862847222</v>
      </c>
      <c r="AK166" s="2" t="s">
        <v>1831</v>
      </c>
    </row>
    <row r="167" spans="1:37" x14ac:dyDescent="0.15">
      <c r="A167" s="2" t="s">
        <v>1830</v>
      </c>
      <c r="B167">
        <v>1159</v>
      </c>
      <c r="C167" s="3">
        <v>41760</v>
      </c>
      <c r="D167" s="2" t="s">
        <v>37</v>
      </c>
      <c r="E167" s="2" t="s">
        <v>1829</v>
      </c>
      <c r="F167" s="2" t="s">
        <v>38</v>
      </c>
      <c r="G167" s="2" t="s">
        <v>376</v>
      </c>
      <c r="H167" s="2" t="s">
        <v>260</v>
      </c>
      <c r="I167" s="4">
        <f>VLOOKUP(G167,全部!C:M,11,FALSE)</f>
        <v>10118443</v>
      </c>
      <c r="J167" s="4">
        <f t="shared" si="2"/>
        <v>0</v>
      </c>
      <c r="K167" s="4">
        <f>VLOOKUP(计算!G167,全部!C:N,12,FALSE)</f>
        <v>0</v>
      </c>
      <c r="L167" s="5">
        <f>VLOOKUP(G167,全部!C:P,14,FALSE)</f>
        <v>0</v>
      </c>
      <c r="M167" s="5">
        <f>VLOOKUP(G167,全部!C:V,20,FALSE)*100</f>
        <v>3</v>
      </c>
      <c r="N167" s="6">
        <f>VLOOKUP(G167,全部!C:W,21,FALSE)</f>
        <v>303553.28999999998</v>
      </c>
      <c r="O167" s="4">
        <f>VLOOKUP(G167,全部!C:X,22,FALSE)</f>
        <v>100000</v>
      </c>
      <c r="P167" s="4">
        <f>VLOOKUP(G167,全部!C:Y,23,FALSE)</f>
        <v>100000</v>
      </c>
      <c r="Q167" s="6">
        <f>VLOOKUP(G167,全部!C:Z,24,FALSE)</f>
        <v>203553.28999999998</v>
      </c>
      <c r="R167" s="7">
        <f>VLOOKUP(G167,全部!C:AA,25,FALSE)</f>
        <v>4800000</v>
      </c>
      <c r="S167" s="7">
        <f>VLOOKUP(G167,全部!C:AB,26,FALSE)</f>
        <v>4800000</v>
      </c>
      <c r="T167" s="4">
        <f>VLOOKUP(计算!G167,全部!C:AC,27,FALSE)</f>
        <v>1800000</v>
      </c>
      <c r="U167" s="4">
        <f>VLOOKUP(G167,全部!C:AD,28,FALSE)</f>
        <v>1800000</v>
      </c>
      <c r="V167" s="6">
        <f>VLOOKUP(G167,全部!C:AE,29,FALSE)</f>
        <v>0.17789298215150295</v>
      </c>
      <c r="W167" s="4">
        <f>VLOOKUP(G167,全部!C:AF,30,FALSE)</f>
        <v>1739791</v>
      </c>
      <c r="X167" s="4">
        <f>VLOOKUP(G167,全部!C:AG,31,FALSE)</f>
        <v>1739791</v>
      </c>
      <c r="Y167" s="4">
        <f>VLOOKUP(计算!G167,全部!C:AH,32,FALSE)</f>
        <v>1800811</v>
      </c>
      <c r="Z167" s="4">
        <f>VLOOKUP(G167,全部!C:AL,36,FALSE)</f>
        <v>1800811</v>
      </c>
      <c r="AA167" s="4">
        <f>VLOOKUP(G167,全部!C:AM,37,FALSE)</f>
        <v>3.7400000000000003E-2</v>
      </c>
      <c r="AB167" s="6">
        <f>VLOOKUP(G167,全部!C:AN,38,FALSE)</f>
        <v>179520</v>
      </c>
      <c r="AC167" s="4">
        <f>VLOOKUP(G167,全部!C:AO,39,FALSE)</f>
        <v>179520</v>
      </c>
      <c r="AD167" s="4">
        <f>VLOOKUP(G167,全部!C:AP,40,FALSE)</f>
        <v>179520</v>
      </c>
      <c r="AE167" s="6">
        <f>VLOOKUP(G167,全部!C:AQ,41,FALSE)</f>
        <v>0</v>
      </c>
      <c r="AF167" s="4">
        <f>VLOOKUP(G167,全部!C:AR,42,FALSE)</f>
        <v>0</v>
      </c>
      <c r="AG167" s="7">
        <f>VLOOKUP(G167,全部!C:AS,43,FALSE)</f>
        <v>132</v>
      </c>
      <c r="AH167" s="64" t="str">
        <f>IF(VLOOKUP(G167,全部!C:AT,44,FALSE)=0,"",VLOOKUP(G167,全部!C:AT,44,FALSE))</f>
        <v>管庄</v>
      </c>
      <c r="AI167">
        <v>0</v>
      </c>
      <c r="AJ167" s="3">
        <v>41912.6862847222</v>
      </c>
      <c r="AK167" s="2" t="s">
        <v>1828</v>
      </c>
    </row>
    <row r="168" spans="1:37" x14ac:dyDescent="0.15">
      <c r="A168" s="2" t="s">
        <v>1827</v>
      </c>
      <c r="B168">
        <v>1170</v>
      </c>
      <c r="C168" s="3">
        <v>41760</v>
      </c>
      <c r="D168" s="2" t="s">
        <v>37</v>
      </c>
      <c r="E168" s="2" t="s">
        <v>1826</v>
      </c>
      <c r="F168" s="2" t="s">
        <v>38</v>
      </c>
      <c r="G168" s="2" t="s">
        <v>1610</v>
      </c>
      <c r="H168" s="2" t="s">
        <v>1680</v>
      </c>
      <c r="I168" s="4">
        <f>VLOOKUP(G168,全部!C:M,11,FALSE)</f>
        <v>0</v>
      </c>
      <c r="J168" s="4">
        <f t="shared" si="2"/>
        <v>0</v>
      </c>
      <c r="K168" s="4">
        <f>VLOOKUP(计算!G168,全部!C:N,12,FALSE)</f>
        <v>0</v>
      </c>
      <c r="L168" s="5">
        <f>VLOOKUP(G168,全部!C:P,14,FALSE)</f>
        <v>0</v>
      </c>
      <c r="M168" s="5">
        <f>VLOOKUP(G168,全部!C:V,20,FALSE)*100</f>
        <v>0</v>
      </c>
      <c r="N168" s="6">
        <f>VLOOKUP(G168,全部!C:W,21,FALSE)</f>
        <v>0</v>
      </c>
      <c r="O168" s="4">
        <f>VLOOKUP(G168,全部!C:X,22,FALSE)</f>
        <v>0</v>
      </c>
      <c r="P168" s="4">
        <f>VLOOKUP(G168,全部!C:Y,23,FALSE)</f>
        <v>0</v>
      </c>
      <c r="Q168" s="6">
        <f>VLOOKUP(G168,全部!C:Z,24,FALSE)</f>
        <v>0</v>
      </c>
      <c r="R168" s="7">
        <f>VLOOKUP(G168,全部!C:AA,25,FALSE)</f>
        <v>0</v>
      </c>
      <c r="S168" s="7">
        <f>VLOOKUP(G168,全部!C:AB,26,FALSE)</f>
        <v>0</v>
      </c>
      <c r="T168" s="4">
        <f>VLOOKUP(计算!G168,全部!C:AC,27,FALSE)</f>
        <v>0</v>
      </c>
      <c r="U168" s="4">
        <f>VLOOKUP(G168,全部!C:AD,28,FALSE)</f>
        <v>0</v>
      </c>
      <c r="V168" s="6">
        <f>VLOOKUP(G168,全部!C:AE,29,FALSE)</f>
        <v>0</v>
      </c>
      <c r="W168" s="4">
        <f>VLOOKUP(G168,全部!C:AF,30,FALSE)</f>
        <v>0</v>
      </c>
      <c r="X168" s="4">
        <f>VLOOKUP(G168,全部!C:AG,31,FALSE)</f>
        <v>0</v>
      </c>
      <c r="Y168" s="4">
        <f>VLOOKUP(计算!G168,全部!C:AH,32,FALSE)</f>
        <v>0</v>
      </c>
      <c r="Z168" s="4">
        <f>VLOOKUP(G168,全部!C:AL,36,FALSE)</f>
        <v>0</v>
      </c>
      <c r="AA168" s="4">
        <f>VLOOKUP(G168,全部!C:AM,37,FALSE)</f>
        <v>0</v>
      </c>
      <c r="AB168" s="6">
        <f>VLOOKUP(G168,全部!C:AN,38,FALSE)</f>
        <v>0</v>
      </c>
      <c r="AC168" s="4">
        <f>VLOOKUP(G168,全部!C:AO,39,FALSE)</f>
        <v>0</v>
      </c>
      <c r="AD168" s="4">
        <f>VLOOKUP(G168,全部!C:AP,40,FALSE)</f>
        <v>0</v>
      </c>
      <c r="AE168" s="6">
        <f>VLOOKUP(G168,全部!C:AQ,41,FALSE)</f>
        <v>0</v>
      </c>
      <c r="AF168" s="4">
        <f>VLOOKUP(G168,全部!C:AR,42,FALSE)</f>
        <v>0</v>
      </c>
      <c r="AG168" s="7">
        <f>VLOOKUP(G168,全部!C:AS,43,FALSE)</f>
        <v>0</v>
      </c>
      <c r="AH168" s="64" t="str">
        <f>IF(VLOOKUP(G168,全部!C:AT,44,FALSE)=0,"",VLOOKUP(G168,全部!C:AT,44,FALSE))</f>
        <v/>
      </c>
      <c r="AI168">
        <v>0</v>
      </c>
      <c r="AJ168" s="3">
        <v>41912.6862847222</v>
      </c>
      <c r="AK168" s="2" t="s">
        <v>1825</v>
      </c>
    </row>
    <row r="169" spans="1:37" x14ac:dyDescent="0.15">
      <c r="A169" s="2" t="s">
        <v>1824</v>
      </c>
      <c r="B169">
        <v>1173</v>
      </c>
      <c r="C169" s="3">
        <v>41760</v>
      </c>
      <c r="D169" s="2" t="s">
        <v>37</v>
      </c>
      <c r="E169" s="2" t="s">
        <v>1823</v>
      </c>
      <c r="F169" s="2" t="s">
        <v>38</v>
      </c>
      <c r="G169" s="2" t="s">
        <v>377</v>
      </c>
      <c r="H169" s="2" t="s">
        <v>378</v>
      </c>
      <c r="I169" s="4">
        <f>VLOOKUP(G169,全部!C:M,11,FALSE)</f>
        <v>769500</v>
      </c>
      <c r="J169" s="4">
        <f t="shared" si="2"/>
        <v>0</v>
      </c>
      <c r="K169" s="4">
        <f>VLOOKUP(计算!G169,全部!C:N,12,FALSE)</f>
        <v>0</v>
      </c>
      <c r="L169" s="5">
        <f>VLOOKUP(G169,全部!C:P,14,FALSE)</f>
        <v>0</v>
      </c>
      <c r="M169" s="5">
        <f>VLOOKUP(G169,全部!C:V,20,FALSE)*100</f>
        <v>4.5999999999999996</v>
      </c>
      <c r="N169" s="6">
        <f>VLOOKUP(G169,全部!C:W,21,FALSE)</f>
        <v>35397</v>
      </c>
      <c r="O169" s="4">
        <f>VLOOKUP(G169,全部!C:X,22,FALSE)</f>
        <v>35397</v>
      </c>
      <c r="P169" s="4">
        <f>VLOOKUP(G169,全部!C:Y,23,FALSE)</f>
        <v>35397</v>
      </c>
      <c r="Q169" s="6">
        <f>VLOOKUP(G169,全部!C:Z,24,FALSE)</f>
        <v>0</v>
      </c>
      <c r="R169" s="7">
        <f>VLOOKUP(G169,全部!C:AA,25,FALSE)</f>
        <v>0</v>
      </c>
      <c r="S169" s="7">
        <f>VLOOKUP(G169,全部!C:AB,26,FALSE)</f>
        <v>0</v>
      </c>
      <c r="T169" s="4">
        <f>VLOOKUP(计算!G169,全部!C:AC,27,FALSE)</f>
        <v>0</v>
      </c>
      <c r="U169" s="4">
        <f>VLOOKUP(G169,全部!C:AD,28,FALSE)</f>
        <v>0</v>
      </c>
      <c r="V169" s="6">
        <f>VLOOKUP(G169,全部!C:AE,29,FALSE)</f>
        <v>0</v>
      </c>
      <c r="W169" s="4">
        <f>VLOOKUP(G169,全部!C:AF,30,FALSE)</f>
        <v>0</v>
      </c>
      <c r="X169" s="4">
        <f>VLOOKUP(G169,全部!C:AG,31,FALSE)</f>
        <v>0</v>
      </c>
      <c r="Y169" s="4">
        <f>VLOOKUP(计算!G169,全部!C:AH,32,FALSE)</f>
        <v>0</v>
      </c>
      <c r="Z169" s="4">
        <f>VLOOKUP(G169,全部!C:AL,36,FALSE)</f>
        <v>0</v>
      </c>
      <c r="AA169" s="4">
        <f>VLOOKUP(G169,全部!C:AM,37,FALSE)</f>
        <v>0</v>
      </c>
      <c r="AB169" s="6">
        <f>VLOOKUP(G169,全部!C:AN,38,FALSE)</f>
        <v>0</v>
      </c>
      <c r="AC169" s="4">
        <f>VLOOKUP(G169,全部!C:AO,39,FALSE)</f>
        <v>0</v>
      </c>
      <c r="AD169" s="4">
        <f>VLOOKUP(G169,全部!C:AP,40,FALSE)</f>
        <v>0</v>
      </c>
      <c r="AE169" s="6">
        <f>VLOOKUP(G169,全部!C:AQ,41,FALSE)</f>
        <v>0</v>
      </c>
      <c r="AF169" s="4">
        <f>VLOOKUP(G169,全部!C:AR,42,FALSE)</f>
        <v>0</v>
      </c>
      <c r="AG169" s="7">
        <f>VLOOKUP(G169,全部!C:AS,43,FALSE)</f>
        <v>6</v>
      </c>
      <c r="AH169" s="64" t="str">
        <f>IF(VLOOKUP(G169,全部!C:AT,44,FALSE)=0,"",VLOOKUP(G169,全部!C:AT,44,FALSE))</f>
        <v>亦庄</v>
      </c>
      <c r="AI169">
        <v>0</v>
      </c>
      <c r="AJ169" s="3">
        <v>41912.6862847222</v>
      </c>
      <c r="AK169" s="2" t="s">
        <v>1822</v>
      </c>
    </row>
    <row r="170" spans="1:37" x14ac:dyDescent="0.15">
      <c r="A170" s="2" t="s">
        <v>1821</v>
      </c>
      <c r="B170">
        <v>1169</v>
      </c>
      <c r="C170" s="3">
        <v>41760</v>
      </c>
      <c r="D170" s="2" t="s">
        <v>37</v>
      </c>
      <c r="E170" s="2" t="s">
        <v>1820</v>
      </c>
      <c r="F170" s="2" t="s">
        <v>38</v>
      </c>
      <c r="G170" s="2" t="s">
        <v>374</v>
      </c>
      <c r="H170" s="2" t="s">
        <v>375</v>
      </c>
      <c r="I170" s="4">
        <f>VLOOKUP(G170,全部!C:M,11,FALSE)</f>
        <v>14986416.529999999</v>
      </c>
      <c r="J170" s="4">
        <f t="shared" si="2"/>
        <v>0</v>
      </c>
      <c r="K170" s="4">
        <f>VLOOKUP(计算!G170,全部!C:N,12,FALSE)</f>
        <v>0</v>
      </c>
      <c r="L170" s="5">
        <f>VLOOKUP(G170,全部!C:P,14,FALSE)</f>
        <v>0</v>
      </c>
      <c r="M170" s="5">
        <f>VLOOKUP(G170,全部!C:V,20,FALSE)*100</f>
        <v>3</v>
      </c>
      <c r="N170" s="6">
        <f>VLOOKUP(G170,全部!C:W,21,FALSE)</f>
        <v>449592.49589999998</v>
      </c>
      <c r="O170" s="4">
        <f>VLOOKUP(G170,全部!C:X,22,FALSE)</f>
        <v>0</v>
      </c>
      <c r="P170" s="4">
        <f>VLOOKUP(G170,全部!C:Y,23,FALSE)</f>
        <v>0</v>
      </c>
      <c r="Q170" s="6">
        <f>VLOOKUP(G170,全部!C:Z,24,FALSE)</f>
        <v>449592.49589999998</v>
      </c>
      <c r="R170" s="7">
        <f>VLOOKUP(G170,全部!C:AA,25,FALSE)</f>
        <v>0</v>
      </c>
      <c r="S170" s="7">
        <f>VLOOKUP(G170,全部!C:AB,26,FALSE)</f>
        <v>0</v>
      </c>
      <c r="T170" s="4">
        <f>VLOOKUP(计算!G170,全部!C:AC,27,FALSE)</f>
        <v>0</v>
      </c>
      <c r="U170" s="4">
        <f>VLOOKUP(G170,全部!C:AD,28,FALSE)</f>
        <v>0</v>
      </c>
      <c r="V170" s="6">
        <f>VLOOKUP(G170,全部!C:AE,29,FALSE)</f>
        <v>0</v>
      </c>
      <c r="W170" s="4">
        <f>VLOOKUP(G170,全部!C:AF,30,FALSE)</f>
        <v>0</v>
      </c>
      <c r="X170" s="4">
        <f>VLOOKUP(G170,全部!C:AG,31,FALSE)</f>
        <v>0</v>
      </c>
      <c r="Y170" s="4">
        <f>VLOOKUP(计算!G170,全部!C:AH,32,FALSE)</f>
        <v>0</v>
      </c>
      <c r="Z170" s="4">
        <f>VLOOKUP(G170,全部!C:AL,36,FALSE)</f>
        <v>0</v>
      </c>
      <c r="AA170" s="4">
        <f>VLOOKUP(G170,全部!C:AM,37,FALSE)</f>
        <v>0</v>
      </c>
      <c r="AB170" s="6">
        <f>VLOOKUP(G170,全部!C:AN,38,FALSE)</f>
        <v>0</v>
      </c>
      <c r="AC170" s="4">
        <f>VLOOKUP(G170,全部!C:AO,39,FALSE)</f>
        <v>0</v>
      </c>
      <c r="AD170" s="4">
        <f>VLOOKUP(G170,全部!C:AP,40,FALSE)</f>
        <v>0</v>
      </c>
      <c r="AE170" s="6">
        <f>VLOOKUP(G170,全部!C:AQ,41,FALSE)</f>
        <v>0</v>
      </c>
      <c r="AF170" s="4">
        <f>VLOOKUP(G170,全部!C:AR,42,FALSE)</f>
        <v>0</v>
      </c>
      <c r="AG170" s="7">
        <f>VLOOKUP(G170,全部!C:AS,43,FALSE)</f>
        <v>110</v>
      </c>
      <c r="AH170" s="64" t="str">
        <f>IF(VLOOKUP(G170,全部!C:AT,44,FALSE)=0,"",VLOOKUP(G170,全部!C:AT,44,FALSE))</f>
        <v>三河</v>
      </c>
      <c r="AI170">
        <v>0</v>
      </c>
      <c r="AJ170" s="3">
        <v>41912.6862847222</v>
      </c>
      <c r="AK170" s="2" t="s">
        <v>1819</v>
      </c>
    </row>
    <row r="171" spans="1:37" x14ac:dyDescent="0.15">
      <c r="A171" s="2" t="s">
        <v>1818</v>
      </c>
      <c r="B171">
        <v>235</v>
      </c>
      <c r="C171" s="3">
        <v>41760</v>
      </c>
      <c r="D171" s="2" t="s">
        <v>37</v>
      </c>
      <c r="E171" s="2" t="s">
        <v>1817</v>
      </c>
      <c r="F171" s="2" t="s">
        <v>41</v>
      </c>
      <c r="G171" s="2" t="s">
        <v>372</v>
      </c>
      <c r="H171" s="2" t="s">
        <v>373</v>
      </c>
      <c r="I171" s="4">
        <f>VLOOKUP(G171,全部!C:M,11,FALSE)</f>
        <v>50000</v>
      </c>
      <c r="J171" s="4">
        <f t="shared" si="2"/>
        <v>0</v>
      </c>
      <c r="K171" s="4">
        <f>VLOOKUP(计算!G171,全部!C:N,12,FALSE)</f>
        <v>0</v>
      </c>
      <c r="L171" s="5">
        <f>VLOOKUP(G171,全部!C:P,14,FALSE)</f>
        <v>0</v>
      </c>
      <c r="M171" s="5">
        <f>VLOOKUP(G171,全部!C:V,20,FALSE)*100</f>
        <v>8.6</v>
      </c>
      <c r="N171" s="6">
        <f>VLOOKUP(G171,全部!C:W,21,FALSE)</f>
        <v>4300</v>
      </c>
      <c r="O171" s="4">
        <f>VLOOKUP(G171,全部!C:X,22,FALSE)</f>
        <v>4300</v>
      </c>
      <c r="P171" s="4">
        <f>VLOOKUP(G171,全部!C:Y,23,FALSE)</f>
        <v>4300</v>
      </c>
      <c r="Q171" s="6">
        <f>VLOOKUP(G171,全部!C:Z,24,FALSE)</f>
        <v>0</v>
      </c>
      <c r="R171" s="7">
        <f>VLOOKUP(G171,全部!C:AA,25,FALSE)</f>
        <v>0</v>
      </c>
      <c r="S171" s="7">
        <f>VLOOKUP(G171,全部!C:AB,26,FALSE)</f>
        <v>0</v>
      </c>
      <c r="T171" s="4">
        <f>VLOOKUP(计算!G171,全部!C:AC,27,FALSE)</f>
        <v>40000</v>
      </c>
      <c r="U171" s="4">
        <f>VLOOKUP(G171,全部!C:AD,28,FALSE)</f>
        <v>40000</v>
      </c>
      <c r="V171" s="6">
        <f>VLOOKUP(G171,全部!C:AE,29,FALSE)</f>
        <v>0.8</v>
      </c>
      <c r="W171" s="4">
        <f>VLOOKUP(G171,全部!C:AF,30,FALSE)</f>
        <v>0</v>
      </c>
      <c r="X171" s="4">
        <f>VLOOKUP(G171,全部!C:AG,31,FALSE)</f>
        <v>0</v>
      </c>
      <c r="Y171" s="4">
        <f>VLOOKUP(计算!G171,全部!C:AH,32,FALSE)</f>
        <v>40000</v>
      </c>
      <c r="Z171" s="4">
        <f>VLOOKUP(G171,全部!C:AL,36,FALSE)</f>
        <v>40000</v>
      </c>
      <c r="AA171" s="4">
        <f>VLOOKUP(G171,全部!C:AM,37,FALSE)</f>
        <v>3.4000000000000002E-2</v>
      </c>
      <c r="AB171" s="6">
        <f>VLOOKUP(G171,全部!C:AN,38,FALSE)</f>
        <v>1700.0000000000002</v>
      </c>
      <c r="AC171" s="4">
        <f>VLOOKUP(G171,全部!C:AO,39,FALSE)</f>
        <v>0</v>
      </c>
      <c r="AD171" s="4">
        <f>VLOOKUP(G171,全部!C:AP,40,FALSE)</f>
        <v>0</v>
      </c>
      <c r="AE171" s="6">
        <f>VLOOKUP(G171,全部!C:AQ,41,FALSE)</f>
        <v>1700.0000000000002</v>
      </c>
      <c r="AF171" s="4">
        <f>VLOOKUP(G171,全部!C:AR,42,FALSE)</f>
        <v>0</v>
      </c>
      <c r="AG171" s="7">
        <f>VLOOKUP(G171,全部!C:AS,43,FALSE)</f>
        <v>0</v>
      </c>
      <c r="AH171" s="64" t="str">
        <f>IF(VLOOKUP(G171,全部!C:AT,44,FALSE)=0,"",VLOOKUP(G171,全部!C:AT,44,FALSE))</f>
        <v/>
      </c>
      <c r="AI171">
        <v>0</v>
      </c>
      <c r="AJ171" s="3">
        <v>41912.6862384259</v>
      </c>
      <c r="AK171" s="2" t="s">
        <v>1816</v>
      </c>
    </row>
    <row r="172" spans="1:37" x14ac:dyDescent="0.15">
      <c r="A172" s="2" t="s">
        <v>1815</v>
      </c>
      <c r="B172">
        <v>1167</v>
      </c>
      <c r="C172" s="3">
        <v>41767</v>
      </c>
      <c r="D172" s="2" t="s">
        <v>37</v>
      </c>
      <c r="E172" s="2" t="s">
        <v>1814</v>
      </c>
      <c r="F172" s="2" t="s">
        <v>38</v>
      </c>
      <c r="G172" s="2" t="s">
        <v>379</v>
      </c>
      <c r="H172" s="2" t="s">
        <v>380</v>
      </c>
      <c r="I172" s="4">
        <f>VLOOKUP(G172,全部!C:M,11,FALSE)</f>
        <v>944953.41</v>
      </c>
      <c r="J172" s="4">
        <f t="shared" si="2"/>
        <v>0</v>
      </c>
      <c r="K172" s="4">
        <f>VLOOKUP(计算!G172,全部!C:N,12,FALSE)</f>
        <v>0</v>
      </c>
      <c r="L172" s="5">
        <f>VLOOKUP(G172,全部!C:P,14,FALSE)</f>
        <v>0</v>
      </c>
      <c r="M172" s="5">
        <f>VLOOKUP(G172,全部!C:V,20,FALSE)*100</f>
        <v>3.5999999999999996</v>
      </c>
      <c r="N172" s="6">
        <f>VLOOKUP(G172,全部!C:W,21,FALSE)</f>
        <v>34018.322759999995</v>
      </c>
      <c r="O172" s="4">
        <f>VLOOKUP(G172,全部!C:X,22,FALSE)</f>
        <v>19298.8</v>
      </c>
      <c r="P172" s="4">
        <f>VLOOKUP(G172,全部!C:Y,23,FALSE)</f>
        <v>19298.8</v>
      </c>
      <c r="Q172" s="6">
        <f>VLOOKUP(G172,全部!C:Z,24,FALSE)</f>
        <v>14719.522759999996</v>
      </c>
      <c r="R172" s="7">
        <f>VLOOKUP(G172,全部!C:AA,25,FALSE)</f>
        <v>500000</v>
      </c>
      <c r="S172" s="7">
        <f>VLOOKUP(G172,全部!C:AB,26,FALSE)</f>
        <v>500000</v>
      </c>
      <c r="T172" s="4">
        <f>VLOOKUP(计算!G172,全部!C:AC,27,FALSE)</f>
        <v>500000</v>
      </c>
      <c r="U172" s="4">
        <f>VLOOKUP(G172,全部!C:AD,28,FALSE)</f>
        <v>500000</v>
      </c>
      <c r="V172" s="6">
        <f>VLOOKUP(G172,全部!C:AE,29,FALSE)</f>
        <v>0.52912661588257559</v>
      </c>
      <c r="W172" s="4">
        <f>VLOOKUP(G172,全部!C:AF,30,FALSE)</f>
        <v>358429.08999999997</v>
      </c>
      <c r="X172" s="4">
        <f>VLOOKUP(G172,全部!C:AG,31,FALSE)</f>
        <v>358429.08999999997</v>
      </c>
      <c r="Y172" s="4">
        <f>VLOOKUP(计算!G172,全部!C:AH,32,FALSE)</f>
        <v>404563.08999999997</v>
      </c>
      <c r="Z172" s="4">
        <f>VLOOKUP(G172,全部!C:AL,36,FALSE)</f>
        <v>404563.09</v>
      </c>
      <c r="AA172" s="4">
        <f>VLOOKUP(G172,全部!C:AM,37,FALSE)</f>
        <v>3.4000000000000002E-2</v>
      </c>
      <c r="AB172" s="6">
        <f>VLOOKUP(G172,全部!C:AN,38,FALSE)</f>
        <v>17000</v>
      </c>
      <c r="AC172" s="4">
        <f>VLOOKUP(G172,全部!C:AO,39,FALSE)</f>
        <v>10200</v>
      </c>
      <c r="AD172" s="4">
        <f>VLOOKUP(G172,全部!C:AP,40,FALSE)</f>
        <v>10200</v>
      </c>
      <c r="AE172" s="6">
        <f>VLOOKUP(G172,全部!C:AQ,41,FALSE)</f>
        <v>6800</v>
      </c>
      <c r="AF172" s="4">
        <f>VLOOKUP(G172,全部!C:AR,42,FALSE)</f>
        <v>0</v>
      </c>
      <c r="AG172" s="7">
        <f>VLOOKUP(G172,全部!C:AS,43,FALSE)</f>
        <v>4</v>
      </c>
      <c r="AH172" s="64" t="str">
        <f>IF(VLOOKUP(G172,全部!C:AT,44,FALSE)=0,"",VLOOKUP(G172,全部!C:AT,44,FALSE))</f>
        <v>大兴</v>
      </c>
      <c r="AI172">
        <v>0</v>
      </c>
      <c r="AJ172" s="3">
        <v>41912.6862847222</v>
      </c>
      <c r="AK172" s="2" t="s">
        <v>1813</v>
      </c>
    </row>
    <row r="173" spans="1:37" x14ac:dyDescent="0.15">
      <c r="A173" s="2" t="s">
        <v>1812</v>
      </c>
      <c r="B173">
        <v>1180</v>
      </c>
      <c r="C173" s="3">
        <v>41779</v>
      </c>
      <c r="D173" s="2" t="s">
        <v>37</v>
      </c>
      <c r="E173" s="2" t="s">
        <v>1811</v>
      </c>
      <c r="F173" s="2" t="s">
        <v>38</v>
      </c>
      <c r="G173" s="2" t="s">
        <v>381</v>
      </c>
      <c r="H173" s="2" t="s">
        <v>382</v>
      </c>
      <c r="I173" s="4">
        <f>VLOOKUP(G173,全部!C:M,11,FALSE)</f>
        <v>520000</v>
      </c>
      <c r="J173" s="4">
        <f t="shared" si="2"/>
        <v>0</v>
      </c>
      <c r="K173" s="4">
        <f>VLOOKUP(计算!G173,全部!C:N,12,FALSE)</f>
        <v>0</v>
      </c>
      <c r="L173" s="5">
        <f>VLOOKUP(G173,全部!C:P,14,FALSE)</f>
        <v>0</v>
      </c>
      <c r="M173" s="5">
        <f>VLOOKUP(G173,全部!C:V,20,FALSE)*100</f>
        <v>3.5999999999999996</v>
      </c>
      <c r="N173" s="6">
        <f>VLOOKUP(G173,全部!C:W,21,FALSE)</f>
        <v>18720</v>
      </c>
      <c r="O173" s="4">
        <f>VLOOKUP(G173,全部!C:X,22,FALSE)</f>
        <v>18720</v>
      </c>
      <c r="P173" s="4">
        <f>VLOOKUP(G173,全部!C:Y,23,FALSE)</f>
        <v>18720</v>
      </c>
      <c r="Q173" s="6">
        <f>VLOOKUP(G173,全部!C:Z,24,FALSE)</f>
        <v>0</v>
      </c>
      <c r="R173" s="7">
        <f>VLOOKUP(G173,全部!C:AA,25,FALSE)</f>
        <v>156000</v>
      </c>
      <c r="S173" s="7">
        <f>VLOOKUP(G173,全部!C:AB,26,FALSE)</f>
        <v>156000</v>
      </c>
      <c r="T173" s="4">
        <f>VLOOKUP(计算!G173,全部!C:AC,27,FALSE)</f>
        <v>156000</v>
      </c>
      <c r="U173" s="4">
        <f>VLOOKUP(G173,全部!C:AD,28,FALSE)</f>
        <v>156000</v>
      </c>
      <c r="V173" s="6">
        <f>VLOOKUP(G173,全部!C:AE,29,FALSE)</f>
        <v>0.3</v>
      </c>
      <c r="W173" s="4">
        <f>VLOOKUP(G173,全部!C:AF,30,FALSE)</f>
        <v>140000</v>
      </c>
      <c r="X173" s="4">
        <f>VLOOKUP(G173,全部!C:AG,31,FALSE)</f>
        <v>140000</v>
      </c>
      <c r="Y173" s="4">
        <f>VLOOKUP(计算!G173,全部!C:AH,32,FALSE)</f>
        <v>145304</v>
      </c>
      <c r="Z173" s="4">
        <f>VLOOKUP(G173,全部!C:AL,36,FALSE)</f>
        <v>145304</v>
      </c>
      <c r="AA173" s="4">
        <f>VLOOKUP(G173,全部!C:AM,37,FALSE)</f>
        <v>3.4000000000000002E-2</v>
      </c>
      <c r="AB173" s="6">
        <f>VLOOKUP(G173,全部!C:AN,38,FALSE)</f>
        <v>5304</v>
      </c>
      <c r="AC173" s="4">
        <f>VLOOKUP(G173,全部!C:AO,39,FALSE)</f>
        <v>5304</v>
      </c>
      <c r="AD173" s="4">
        <f>VLOOKUP(G173,全部!C:AP,40,FALSE)</f>
        <v>5304</v>
      </c>
      <c r="AE173" s="6">
        <f>VLOOKUP(G173,全部!C:AQ,41,FALSE)</f>
        <v>0</v>
      </c>
      <c r="AF173" s="4">
        <f>VLOOKUP(G173,全部!C:AR,42,FALSE)</f>
        <v>0</v>
      </c>
      <c r="AG173" s="7">
        <f>VLOOKUP(G173,全部!C:AS,43,FALSE)</f>
        <v>0</v>
      </c>
      <c r="AH173" s="64" t="str">
        <f>IF(VLOOKUP(G173,全部!C:AT,44,FALSE)=0,"",VLOOKUP(G173,全部!C:AT,44,FALSE))</f>
        <v/>
      </c>
      <c r="AI173">
        <v>0</v>
      </c>
      <c r="AJ173" s="3">
        <v>41912.6862847222</v>
      </c>
      <c r="AK173" s="2" t="s">
        <v>1810</v>
      </c>
    </row>
    <row r="174" spans="1:37" x14ac:dyDescent="0.15">
      <c r="A174" s="2" t="s">
        <v>1809</v>
      </c>
      <c r="B174">
        <v>1185</v>
      </c>
      <c r="C174" s="3">
        <v>41791</v>
      </c>
      <c r="D174" s="2" t="s">
        <v>37</v>
      </c>
      <c r="E174" s="2" t="s">
        <v>1808</v>
      </c>
      <c r="F174" s="2" t="s">
        <v>38</v>
      </c>
      <c r="G174" s="2" t="s">
        <v>383</v>
      </c>
      <c r="H174" s="2" t="s">
        <v>384</v>
      </c>
      <c r="I174" s="4">
        <f>VLOOKUP(G174,全部!C:M,11,FALSE)</f>
        <v>14800000</v>
      </c>
      <c r="J174" s="4">
        <f t="shared" si="2"/>
        <v>0</v>
      </c>
      <c r="K174" s="4">
        <f>VLOOKUP(计算!G174,全部!C:N,12,FALSE)</f>
        <v>0</v>
      </c>
      <c r="L174" s="5">
        <f>VLOOKUP(G174,全部!C:P,14,FALSE)</f>
        <v>0</v>
      </c>
      <c r="M174" s="5">
        <f>VLOOKUP(G174,全部!C:V,20,FALSE)*100</f>
        <v>0</v>
      </c>
      <c r="N174" s="6">
        <f>VLOOKUP(G174,全部!C:W,21,FALSE)</f>
        <v>0</v>
      </c>
      <c r="O174" s="4">
        <f>VLOOKUP(G174,全部!C:X,22,FALSE)</f>
        <v>0</v>
      </c>
      <c r="P174" s="4">
        <f>VLOOKUP(G174,全部!C:Y,23,FALSE)</f>
        <v>0</v>
      </c>
      <c r="Q174" s="6">
        <f>VLOOKUP(G174,全部!C:Z,24,FALSE)</f>
        <v>0</v>
      </c>
      <c r="R174" s="7">
        <f>VLOOKUP(G174,全部!C:AA,25,FALSE)</f>
        <v>0</v>
      </c>
      <c r="S174" s="7">
        <f>VLOOKUP(G174,全部!C:AB,26,FALSE)</f>
        <v>0</v>
      </c>
      <c r="T174" s="4">
        <f>VLOOKUP(计算!G174,全部!C:AC,27,FALSE)</f>
        <v>3300000</v>
      </c>
      <c r="U174" s="4">
        <f>VLOOKUP(G174,全部!C:AD,28,FALSE)</f>
        <v>3300000</v>
      </c>
      <c r="V174" s="6">
        <f>VLOOKUP(G174,全部!C:AE,29,FALSE)</f>
        <v>0.22297297297297297</v>
      </c>
      <c r="W174" s="4">
        <f>VLOOKUP(G174,全部!C:AF,30,FALSE)</f>
        <v>1261050</v>
      </c>
      <c r="X174" s="4">
        <f>VLOOKUP(G174,全部!C:AG,31,FALSE)</f>
        <v>1261050</v>
      </c>
      <c r="Y174" s="4">
        <f>VLOOKUP(计算!G174,全部!C:AH,32,FALSE)</f>
        <v>1261050</v>
      </c>
      <c r="Z174" s="4">
        <f>VLOOKUP(G174,全部!C:AL,36,FALSE)</f>
        <v>1261050</v>
      </c>
      <c r="AA174" s="4">
        <f>VLOOKUP(G174,全部!C:AM,37,FALSE)</f>
        <v>3.4000000000000002E-2</v>
      </c>
      <c r="AB174" s="6">
        <f>VLOOKUP(G174,全部!C:AN,38,FALSE)</f>
        <v>0</v>
      </c>
      <c r="AC174" s="4">
        <f>VLOOKUP(G174,全部!C:AO,39,FALSE)</f>
        <v>0</v>
      </c>
      <c r="AD174" s="4">
        <f>VLOOKUP(G174,全部!C:AP,40,FALSE)</f>
        <v>0</v>
      </c>
      <c r="AE174" s="6">
        <f>VLOOKUP(G174,全部!C:AQ,41,FALSE)</f>
        <v>0</v>
      </c>
      <c r="AF174" s="4">
        <f>VLOOKUP(G174,全部!C:AR,42,FALSE)</f>
        <v>0</v>
      </c>
      <c r="AG174" s="7">
        <f>VLOOKUP(G174,全部!C:AS,43,FALSE)</f>
        <v>44</v>
      </c>
      <c r="AH174" s="64" t="str">
        <f>IF(VLOOKUP(G174,全部!C:AT,44,FALSE)=0,"",VLOOKUP(G174,全部!C:AT,44,FALSE))</f>
        <v>昌平</v>
      </c>
      <c r="AI174">
        <v>0</v>
      </c>
      <c r="AJ174" s="3">
        <v>41912.6862847222</v>
      </c>
      <c r="AK174" s="2" t="s">
        <v>1807</v>
      </c>
    </row>
    <row r="175" spans="1:37" x14ac:dyDescent="0.15">
      <c r="A175" s="2" t="s">
        <v>1806</v>
      </c>
      <c r="B175">
        <v>236</v>
      </c>
      <c r="C175" s="3">
        <v>41791</v>
      </c>
      <c r="D175" s="2" t="s">
        <v>37</v>
      </c>
      <c r="E175" s="2" t="s">
        <v>1805</v>
      </c>
      <c r="F175" s="2" t="s">
        <v>41</v>
      </c>
      <c r="G175" s="2" t="s">
        <v>385</v>
      </c>
      <c r="H175" s="2" t="s">
        <v>386</v>
      </c>
      <c r="I175" s="4">
        <f>VLOOKUP(G175,全部!C:M,11,FALSE)</f>
        <v>50000</v>
      </c>
      <c r="J175" s="4">
        <f t="shared" si="2"/>
        <v>0</v>
      </c>
      <c r="K175" s="4">
        <f>VLOOKUP(计算!G175,全部!C:N,12,FALSE)</f>
        <v>0</v>
      </c>
      <c r="L175" s="5">
        <f>VLOOKUP(G175,全部!C:P,14,FALSE)</f>
        <v>0</v>
      </c>
      <c r="M175" s="5">
        <f>VLOOKUP(G175,全部!C:V,20,FALSE)*100</f>
        <v>8.6</v>
      </c>
      <c r="N175" s="6">
        <f>VLOOKUP(G175,全部!C:W,21,FALSE)</f>
        <v>4300</v>
      </c>
      <c r="O175" s="4">
        <f>VLOOKUP(G175,全部!C:X,22,FALSE)</f>
        <v>0</v>
      </c>
      <c r="P175" s="4">
        <f>VLOOKUP(G175,全部!C:Y,23,FALSE)</f>
        <v>0</v>
      </c>
      <c r="Q175" s="6">
        <f>VLOOKUP(G175,全部!C:Z,24,FALSE)</f>
        <v>4300</v>
      </c>
      <c r="R175" s="7">
        <f>VLOOKUP(G175,全部!C:AA,25,FALSE)</f>
        <v>0</v>
      </c>
      <c r="S175" s="7">
        <f>VLOOKUP(G175,全部!C:AB,26,FALSE)</f>
        <v>0</v>
      </c>
      <c r="T175" s="4">
        <f>VLOOKUP(计算!G175,全部!C:AC,27,FALSE)</f>
        <v>0</v>
      </c>
      <c r="U175" s="4">
        <f>VLOOKUP(G175,全部!C:AD,28,FALSE)</f>
        <v>0</v>
      </c>
      <c r="V175" s="6">
        <f>VLOOKUP(G175,全部!C:AE,29,FALSE)</f>
        <v>0</v>
      </c>
      <c r="W175" s="4">
        <f>VLOOKUP(G175,全部!C:AF,30,FALSE)</f>
        <v>0</v>
      </c>
      <c r="X175" s="4">
        <f>VLOOKUP(G175,全部!C:AG,31,FALSE)</f>
        <v>0</v>
      </c>
      <c r="Y175" s="4">
        <f>VLOOKUP(计算!G175,全部!C:AH,32,FALSE)</f>
        <v>0</v>
      </c>
      <c r="Z175" s="4">
        <f>VLOOKUP(G175,全部!C:AL,36,FALSE)</f>
        <v>0</v>
      </c>
      <c r="AA175" s="4">
        <f>VLOOKUP(G175,全部!C:AM,37,FALSE)</f>
        <v>3.4000000000000002E-2</v>
      </c>
      <c r="AB175" s="6">
        <f>VLOOKUP(G175,全部!C:AN,38,FALSE)</f>
        <v>1700.0000000000002</v>
      </c>
      <c r="AC175" s="4">
        <f>VLOOKUP(G175,全部!C:AO,39,FALSE)</f>
        <v>0</v>
      </c>
      <c r="AD175" s="4">
        <f>VLOOKUP(G175,全部!C:AP,40,FALSE)</f>
        <v>0</v>
      </c>
      <c r="AE175" s="6">
        <f>VLOOKUP(G175,全部!C:AQ,41,FALSE)</f>
        <v>1700.0000000000002</v>
      </c>
      <c r="AF175" s="4">
        <f>VLOOKUP(G175,全部!C:AR,42,FALSE)</f>
        <v>0</v>
      </c>
      <c r="AG175" s="7">
        <f>VLOOKUP(G175,全部!C:AS,43,FALSE)</f>
        <v>0</v>
      </c>
      <c r="AH175" s="64" t="str">
        <f>IF(VLOOKUP(G175,全部!C:AT,44,FALSE)=0,"",VLOOKUP(G175,全部!C:AT,44,FALSE))</f>
        <v/>
      </c>
      <c r="AI175">
        <v>0</v>
      </c>
      <c r="AJ175" s="3">
        <v>41912.6862384259</v>
      </c>
      <c r="AK175" s="2" t="s">
        <v>1804</v>
      </c>
    </row>
    <row r="176" spans="1:37" x14ac:dyDescent="0.15">
      <c r="A176" s="2" t="s">
        <v>1803</v>
      </c>
      <c r="B176">
        <v>1188</v>
      </c>
      <c r="C176" s="3">
        <v>41791</v>
      </c>
      <c r="D176" s="2" t="s">
        <v>37</v>
      </c>
      <c r="E176" s="2" t="s">
        <v>1802</v>
      </c>
      <c r="F176" s="2" t="s">
        <v>38</v>
      </c>
      <c r="G176" s="2" t="s">
        <v>387</v>
      </c>
      <c r="H176" s="2" t="s">
        <v>388</v>
      </c>
      <c r="I176" s="4">
        <f>VLOOKUP(G176,全部!C:M,11,FALSE)</f>
        <v>3326070</v>
      </c>
      <c r="J176" s="4">
        <f t="shared" si="2"/>
        <v>0</v>
      </c>
      <c r="K176" s="4">
        <f>VLOOKUP(计算!G176,全部!C:N,12,FALSE)</f>
        <v>0</v>
      </c>
      <c r="L176" s="5">
        <f>VLOOKUP(G176,全部!C:P,14,FALSE)</f>
        <v>0</v>
      </c>
      <c r="M176" s="5">
        <f>VLOOKUP(G176,全部!C:V,20,FALSE)*100</f>
        <v>3.5999999999999996</v>
      </c>
      <c r="N176" s="6">
        <f>VLOOKUP(G176,全部!C:W,21,FALSE)</f>
        <v>119738.51999999999</v>
      </c>
      <c r="O176" s="4">
        <f>VLOOKUP(G176,全部!C:X,22,FALSE)</f>
        <v>0</v>
      </c>
      <c r="P176" s="4">
        <f>VLOOKUP(G176,全部!C:Y,23,FALSE)</f>
        <v>0</v>
      </c>
      <c r="Q176" s="6">
        <f>VLOOKUP(G176,全部!C:Z,24,FALSE)</f>
        <v>119738.51999999999</v>
      </c>
      <c r="R176" s="7">
        <f>VLOOKUP(G176,全部!C:AA,25,FALSE)</f>
        <v>300000</v>
      </c>
      <c r="S176" s="7">
        <f>VLOOKUP(G176,全部!C:AB,26,FALSE)</f>
        <v>300000</v>
      </c>
      <c r="T176" s="4">
        <f>VLOOKUP(计算!G176,全部!C:AC,27,FALSE)</f>
        <v>0</v>
      </c>
      <c r="U176" s="4">
        <f>VLOOKUP(G176,全部!C:AD,28,FALSE)</f>
        <v>0</v>
      </c>
      <c r="V176" s="6">
        <f>VLOOKUP(G176,全部!C:AE,29,FALSE)</f>
        <v>0</v>
      </c>
      <c r="W176" s="4">
        <f>VLOOKUP(G176,全部!C:AF,30,FALSE)</f>
        <v>0</v>
      </c>
      <c r="X176" s="4">
        <f>VLOOKUP(G176,全部!C:AG,31,FALSE)</f>
        <v>0</v>
      </c>
      <c r="Y176" s="4">
        <f>VLOOKUP(计算!G176,全部!C:AH,32,FALSE)</f>
        <v>0</v>
      </c>
      <c r="Z176" s="4">
        <f>VLOOKUP(G176,全部!C:AL,36,FALSE)</f>
        <v>0</v>
      </c>
      <c r="AA176" s="4">
        <f>VLOOKUP(G176,全部!C:AM,37,FALSE)</f>
        <v>3.4000000000000002E-2</v>
      </c>
      <c r="AB176" s="6">
        <f>VLOOKUP(G176,全部!C:AN,38,FALSE)</f>
        <v>10200</v>
      </c>
      <c r="AC176" s="4">
        <f>VLOOKUP(G176,全部!C:AO,39,FALSE)</f>
        <v>0</v>
      </c>
      <c r="AD176" s="4">
        <f>VLOOKUP(G176,全部!C:AP,40,FALSE)</f>
        <v>0</v>
      </c>
      <c r="AE176" s="6">
        <f>VLOOKUP(G176,全部!C:AQ,41,FALSE)</f>
        <v>10200</v>
      </c>
      <c r="AF176" s="4">
        <f>VLOOKUP(G176,全部!C:AR,42,FALSE)</f>
        <v>0</v>
      </c>
      <c r="AG176" s="7">
        <f>VLOOKUP(G176,全部!C:AS,43,FALSE)</f>
        <v>35</v>
      </c>
      <c r="AH176" s="64" t="str">
        <f>IF(VLOOKUP(G176,全部!C:AT,44,FALSE)=0,"",VLOOKUP(G176,全部!C:AT,44,FALSE))</f>
        <v>亦庄</v>
      </c>
      <c r="AI176">
        <v>0</v>
      </c>
      <c r="AJ176" s="3">
        <v>41912.6862847222</v>
      </c>
      <c r="AK176" s="2" t="s">
        <v>1801</v>
      </c>
    </row>
    <row r="177" spans="1:37" x14ac:dyDescent="0.15">
      <c r="A177" s="2" t="s">
        <v>1800</v>
      </c>
      <c r="B177">
        <v>1196</v>
      </c>
      <c r="C177" s="3">
        <v>41820</v>
      </c>
      <c r="D177" s="2" t="s">
        <v>37</v>
      </c>
      <c r="E177" s="2" t="s">
        <v>1799</v>
      </c>
      <c r="F177" s="2" t="s">
        <v>38</v>
      </c>
      <c r="G177" s="2" t="s">
        <v>389</v>
      </c>
      <c r="H177" s="2" t="s">
        <v>390</v>
      </c>
      <c r="I177" s="4">
        <f>VLOOKUP(G177,全部!C:M,11,FALSE)</f>
        <v>5305357.5999999996</v>
      </c>
      <c r="J177" s="4">
        <f t="shared" si="2"/>
        <v>0</v>
      </c>
      <c r="K177" s="4">
        <f>VLOOKUP(计算!G177,全部!C:N,12,FALSE)</f>
        <v>0</v>
      </c>
      <c r="L177" s="5">
        <f>VLOOKUP(G177,全部!C:P,14,FALSE)</f>
        <v>0</v>
      </c>
      <c r="M177" s="5">
        <f>VLOOKUP(G177,全部!C:V,20,FALSE)*100</f>
        <v>3</v>
      </c>
      <c r="N177" s="6">
        <f>VLOOKUP(G177,全部!C:W,21,FALSE)</f>
        <v>159160.72799999997</v>
      </c>
      <c r="O177" s="4">
        <f>VLOOKUP(G177,全部!C:X,22,FALSE)</f>
        <v>100000</v>
      </c>
      <c r="P177" s="4">
        <f>VLOOKUP(G177,全部!C:Y,23,FALSE)</f>
        <v>100000</v>
      </c>
      <c r="Q177" s="6">
        <f>VLOOKUP(G177,全部!C:Z,24,FALSE)</f>
        <v>59160.727999999974</v>
      </c>
      <c r="R177" s="7">
        <f>VLOOKUP(G177,全部!C:AA,25,FALSE)</f>
        <v>1060000</v>
      </c>
      <c r="S177" s="7">
        <f>VLOOKUP(G177,全部!C:AB,26,FALSE)</f>
        <v>1060000</v>
      </c>
      <c r="T177" s="4">
        <f>VLOOKUP(计算!G177,全部!C:AC,27,FALSE)</f>
        <v>1060000</v>
      </c>
      <c r="U177" s="4">
        <f>VLOOKUP(G177,全部!C:AD,28,FALSE)</f>
        <v>1060000</v>
      </c>
      <c r="V177" s="6">
        <f>VLOOKUP(G177,全部!C:AE,29,FALSE)</f>
        <v>0.19979803057950327</v>
      </c>
      <c r="W177" s="4">
        <f>VLOOKUP(G177,全部!C:AF,30,FALSE)</f>
        <v>356366.43</v>
      </c>
      <c r="X177" s="4">
        <f>VLOOKUP(G177,全部!C:AG,31,FALSE)</f>
        <v>356366.43</v>
      </c>
      <c r="Y177" s="4">
        <f>VLOOKUP(计算!G177,全部!C:AH,32,FALSE)</f>
        <v>428446.43</v>
      </c>
      <c r="Z177" s="4">
        <f>VLOOKUP(G177,全部!C:AL,36,FALSE)</f>
        <v>428446.43</v>
      </c>
      <c r="AA177" s="4">
        <f>VLOOKUP(G177,全部!C:AM,37,FALSE)</f>
        <v>3.4000000000000002E-2</v>
      </c>
      <c r="AB177" s="6">
        <f>VLOOKUP(G177,全部!C:AN,38,FALSE)</f>
        <v>36040</v>
      </c>
      <c r="AC177" s="4">
        <f>VLOOKUP(G177,全部!C:AO,39,FALSE)</f>
        <v>36040</v>
      </c>
      <c r="AD177" s="4">
        <f>VLOOKUP(G177,全部!C:AP,40,FALSE)</f>
        <v>36040</v>
      </c>
      <c r="AE177" s="6">
        <f>VLOOKUP(G177,全部!C:AQ,41,FALSE)</f>
        <v>0</v>
      </c>
      <c r="AF177" s="4">
        <f>VLOOKUP(G177,全部!C:AR,42,FALSE)</f>
        <v>0</v>
      </c>
      <c r="AG177" s="7">
        <f>VLOOKUP(G177,全部!C:AS,43,FALSE)</f>
        <v>72</v>
      </c>
      <c r="AH177" s="64" t="str">
        <f>IF(VLOOKUP(G177,全部!C:AT,44,FALSE)=0,"",VLOOKUP(G177,全部!C:AT,44,FALSE))</f>
        <v>三河</v>
      </c>
      <c r="AI177">
        <v>0</v>
      </c>
      <c r="AJ177" s="3">
        <v>41912.6862847222</v>
      </c>
      <c r="AK177" s="2" t="s">
        <v>1798</v>
      </c>
    </row>
    <row r="178" spans="1:37" x14ac:dyDescent="0.15">
      <c r="A178" s="2" t="s">
        <v>1797</v>
      </c>
      <c r="B178">
        <v>252</v>
      </c>
      <c r="C178" s="3">
        <v>41821</v>
      </c>
      <c r="D178" s="2" t="s">
        <v>37</v>
      </c>
      <c r="E178" s="2" t="s">
        <v>1796</v>
      </c>
      <c r="F178" s="2" t="s">
        <v>41</v>
      </c>
      <c r="G178" s="2" t="s">
        <v>403</v>
      </c>
      <c r="H178" s="2" t="s">
        <v>404</v>
      </c>
      <c r="I178" s="4">
        <f>VLOOKUP(G178,全部!C:M,11,FALSE)</f>
        <v>1826701.83</v>
      </c>
      <c r="J178" s="4">
        <f t="shared" si="2"/>
        <v>0</v>
      </c>
      <c r="K178" s="4">
        <f>VLOOKUP(计算!G178,全部!C:N,12,FALSE)</f>
        <v>0</v>
      </c>
      <c r="L178" s="5">
        <f>VLOOKUP(G178,全部!C:P,14,FALSE)</f>
        <v>0</v>
      </c>
      <c r="M178" s="5">
        <f>VLOOKUP(G178,全部!C:V,20,FALSE)*100</f>
        <v>8.6</v>
      </c>
      <c r="N178" s="6">
        <f>VLOOKUP(G178,全部!C:W,21,FALSE)</f>
        <v>157096.35738</v>
      </c>
      <c r="O178" s="4">
        <f>VLOOKUP(G178,全部!C:X,22,FALSE)</f>
        <v>78548.179999999993</v>
      </c>
      <c r="P178" s="4">
        <f>VLOOKUP(G178,全部!C:Y,23,FALSE)</f>
        <v>78548.179999999993</v>
      </c>
      <c r="Q178" s="6">
        <f>VLOOKUP(G178,全部!C:Z,24,FALSE)</f>
        <v>78548.177380000008</v>
      </c>
      <c r="R178" s="7">
        <f>VLOOKUP(G178,全部!C:AA,25,FALSE)</f>
        <v>0</v>
      </c>
      <c r="S178" s="7">
        <f>VLOOKUP(G178,全部!C:AB,26,FALSE)</f>
        <v>0</v>
      </c>
      <c r="T178" s="4">
        <f>VLOOKUP(计算!G178,全部!C:AC,27,FALSE)</f>
        <v>365340.36</v>
      </c>
      <c r="U178" s="4">
        <f>VLOOKUP(G178,全部!C:AD,28,FALSE)</f>
        <v>365340.36</v>
      </c>
      <c r="V178" s="6">
        <f>VLOOKUP(G178,全部!C:AE,29,FALSE)</f>
        <v>0.19999999671539168</v>
      </c>
      <c r="W178" s="4">
        <f>VLOOKUP(G178,全部!C:AF,30,FALSE)</f>
        <v>0</v>
      </c>
      <c r="X178" s="4">
        <f>VLOOKUP(G178,全部!C:AG,31,FALSE)</f>
        <v>0</v>
      </c>
      <c r="Y178" s="4">
        <f>VLOOKUP(计算!G178,全部!C:AH,32,FALSE)</f>
        <v>365340.36</v>
      </c>
      <c r="Z178" s="4">
        <f>VLOOKUP(G178,全部!C:AL,36,FALSE)</f>
        <v>365340.36</v>
      </c>
      <c r="AA178" s="4">
        <f>VLOOKUP(G178,全部!C:AM,37,FALSE)</f>
        <v>3.4000000000000002E-2</v>
      </c>
      <c r="AB178" s="6">
        <f>VLOOKUP(G178,全部!C:AN,38,FALSE)</f>
        <v>62107.86222000001</v>
      </c>
      <c r="AC178" s="4">
        <f>VLOOKUP(G178,全部!C:AO,39,FALSE)</f>
        <v>0</v>
      </c>
      <c r="AD178" s="4">
        <f>VLOOKUP(G178,全部!C:AP,40,FALSE)</f>
        <v>0</v>
      </c>
      <c r="AE178" s="6">
        <f>VLOOKUP(G178,全部!C:AQ,41,FALSE)</f>
        <v>62107.86222000001</v>
      </c>
      <c r="AF178" s="4">
        <f>VLOOKUP(G178,全部!C:AR,42,FALSE)</f>
        <v>0</v>
      </c>
      <c r="AG178" s="7">
        <f>VLOOKUP(G178,全部!C:AS,43,FALSE)</f>
        <v>0</v>
      </c>
      <c r="AH178" s="64" t="str">
        <f>IF(VLOOKUP(G178,全部!C:AT,44,FALSE)=0,"",VLOOKUP(G178,全部!C:AT,44,FALSE))</f>
        <v/>
      </c>
      <c r="AI178">
        <v>0</v>
      </c>
      <c r="AJ178" s="3">
        <v>41912.6862384259</v>
      </c>
      <c r="AK178" s="2" t="s">
        <v>1795</v>
      </c>
    </row>
    <row r="179" spans="1:37" x14ac:dyDescent="0.15">
      <c r="A179" s="2" t="s">
        <v>1794</v>
      </c>
      <c r="B179">
        <v>262</v>
      </c>
      <c r="C179" s="3">
        <v>41821</v>
      </c>
      <c r="D179" s="2" t="s">
        <v>37</v>
      </c>
      <c r="E179" s="2" t="s">
        <v>1793</v>
      </c>
      <c r="F179" s="2" t="s">
        <v>41</v>
      </c>
      <c r="G179" s="2" t="s">
        <v>405</v>
      </c>
      <c r="H179" s="2" t="s">
        <v>406</v>
      </c>
      <c r="I179" s="4">
        <f>VLOOKUP(G179,全部!C:M,11,FALSE)</f>
        <v>882200</v>
      </c>
      <c r="J179" s="4">
        <f t="shared" si="2"/>
        <v>0</v>
      </c>
      <c r="K179" s="4">
        <f>VLOOKUP(计算!G179,全部!C:N,12,FALSE)</f>
        <v>0</v>
      </c>
      <c r="L179" s="5">
        <f>VLOOKUP(G179,全部!C:P,14,FALSE)</f>
        <v>0</v>
      </c>
      <c r="M179" s="5">
        <f>VLOOKUP(G179,全部!C:V,20,FALSE)*100</f>
        <v>8.6</v>
      </c>
      <c r="N179" s="6">
        <f>VLOOKUP(G179,全部!C:W,21,FALSE)</f>
        <v>75869.2</v>
      </c>
      <c r="O179" s="4">
        <f>VLOOKUP(G179,全部!C:X,22,FALSE)</f>
        <v>37934.6</v>
      </c>
      <c r="P179" s="4">
        <f>VLOOKUP(G179,全部!C:Y,23,FALSE)</f>
        <v>37934.6</v>
      </c>
      <c r="Q179" s="6">
        <f>VLOOKUP(G179,全部!C:Z,24,FALSE)</f>
        <v>37934.6</v>
      </c>
      <c r="R179" s="7">
        <f>VLOOKUP(G179,全部!C:AA,25,FALSE)</f>
        <v>0</v>
      </c>
      <c r="S179" s="7">
        <f>VLOOKUP(G179,全部!C:AB,26,FALSE)</f>
        <v>0</v>
      </c>
      <c r="T179" s="4">
        <f>VLOOKUP(计算!G179,全部!C:AC,27,FALSE)</f>
        <v>176440</v>
      </c>
      <c r="U179" s="4">
        <f>VLOOKUP(G179,全部!C:AD,28,FALSE)</f>
        <v>176440</v>
      </c>
      <c r="V179" s="6">
        <f>VLOOKUP(G179,全部!C:AE,29,FALSE)</f>
        <v>0.2</v>
      </c>
      <c r="W179" s="4">
        <f>VLOOKUP(G179,全部!C:AF,30,FALSE)</f>
        <v>0</v>
      </c>
      <c r="X179" s="4">
        <f>VLOOKUP(G179,全部!C:AG,31,FALSE)</f>
        <v>0</v>
      </c>
      <c r="Y179" s="4">
        <f>VLOOKUP(计算!G179,全部!C:AH,32,FALSE)</f>
        <v>176440</v>
      </c>
      <c r="Z179" s="4">
        <f>VLOOKUP(G179,全部!C:AL,36,FALSE)</f>
        <v>176440</v>
      </c>
      <c r="AA179" s="4">
        <f>VLOOKUP(G179,全部!C:AM,37,FALSE)</f>
        <v>3.4000000000000002E-2</v>
      </c>
      <c r="AB179" s="6">
        <f>VLOOKUP(G179,全部!C:AN,38,FALSE)</f>
        <v>29994.800000000003</v>
      </c>
      <c r="AC179" s="4">
        <f>VLOOKUP(G179,全部!C:AO,39,FALSE)</f>
        <v>0</v>
      </c>
      <c r="AD179" s="4">
        <f>VLOOKUP(G179,全部!C:AP,40,FALSE)</f>
        <v>0</v>
      </c>
      <c r="AE179" s="6">
        <f>VLOOKUP(G179,全部!C:AQ,41,FALSE)</f>
        <v>29994.800000000003</v>
      </c>
      <c r="AF179" s="4">
        <f>VLOOKUP(G179,全部!C:AR,42,FALSE)</f>
        <v>0</v>
      </c>
      <c r="AG179" s="7">
        <f>VLOOKUP(G179,全部!C:AS,43,FALSE)</f>
        <v>0</v>
      </c>
      <c r="AH179" s="64" t="str">
        <f>IF(VLOOKUP(G179,全部!C:AT,44,FALSE)=0,"",VLOOKUP(G179,全部!C:AT,44,FALSE))</f>
        <v/>
      </c>
      <c r="AI179">
        <v>0</v>
      </c>
      <c r="AJ179" s="3">
        <v>41912.6862384259</v>
      </c>
      <c r="AK179" s="2" t="s">
        <v>1792</v>
      </c>
    </row>
    <row r="180" spans="1:37" x14ac:dyDescent="0.15">
      <c r="A180" s="2" t="s">
        <v>1791</v>
      </c>
      <c r="B180">
        <v>271</v>
      </c>
      <c r="C180" s="3">
        <v>41821</v>
      </c>
      <c r="D180" s="2" t="s">
        <v>37</v>
      </c>
      <c r="E180" s="2" t="s">
        <v>1790</v>
      </c>
      <c r="F180" s="2" t="s">
        <v>41</v>
      </c>
      <c r="G180" s="2" t="s">
        <v>407</v>
      </c>
      <c r="H180" s="2" t="s">
        <v>408</v>
      </c>
      <c r="I180" s="4">
        <f>VLOOKUP(G180,全部!C:M,11,FALSE)</f>
        <v>1800000</v>
      </c>
      <c r="J180" s="4">
        <f t="shared" si="2"/>
        <v>0</v>
      </c>
      <c r="K180" s="4">
        <f>VLOOKUP(计算!G180,全部!C:N,12,FALSE)</f>
        <v>0</v>
      </c>
      <c r="L180" s="5">
        <f>VLOOKUP(G180,全部!C:P,14,FALSE)</f>
        <v>0</v>
      </c>
      <c r="M180" s="5">
        <f>VLOOKUP(G180,全部!C:V,20,FALSE)*100</f>
        <v>8.6</v>
      </c>
      <c r="N180" s="6">
        <f>VLOOKUP(G180,全部!C:W,21,FALSE)</f>
        <v>154800</v>
      </c>
      <c r="O180" s="4">
        <f>VLOOKUP(G180,全部!C:X,22,FALSE)</f>
        <v>77400</v>
      </c>
      <c r="P180" s="4">
        <f>VLOOKUP(G180,全部!C:Y,23,FALSE)</f>
        <v>77400</v>
      </c>
      <c r="Q180" s="6">
        <f>VLOOKUP(G180,全部!C:Z,24,FALSE)</f>
        <v>77400</v>
      </c>
      <c r="R180" s="7">
        <f>VLOOKUP(G180,全部!C:AA,25,FALSE)</f>
        <v>0</v>
      </c>
      <c r="S180" s="7">
        <f>VLOOKUP(G180,全部!C:AB,26,FALSE)</f>
        <v>0</v>
      </c>
      <c r="T180" s="4">
        <f>VLOOKUP(计算!G180,全部!C:AC,27,FALSE)</f>
        <v>360000</v>
      </c>
      <c r="U180" s="4">
        <f>VLOOKUP(G180,全部!C:AD,28,FALSE)</f>
        <v>360000</v>
      </c>
      <c r="V180" s="6">
        <f>VLOOKUP(G180,全部!C:AE,29,FALSE)</f>
        <v>0.2</v>
      </c>
      <c r="W180" s="4">
        <f>VLOOKUP(G180,全部!C:AF,30,FALSE)</f>
        <v>0</v>
      </c>
      <c r="X180" s="4">
        <f>VLOOKUP(G180,全部!C:AG,31,FALSE)</f>
        <v>0</v>
      </c>
      <c r="Y180" s="4">
        <f>VLOOKUP(计算!G180,全部!C:AH,32,FALSE)</f>
        <v>360000</v>
      </c>
      <c r="Z180" s="4">
        <f>VLOOKUP(G180,全部!C:AL,36,FALSE)</f>
        <v>360000</v>
      </c>
      <c r="AA180" s="4">
        <f>VLOOKUP(G180,全部!C:AM,37,FALSE)</f>
        <v>3.4000000000000002E-2</v>
      </c>
      <c r="AB180" s="6">
        <f>VLOOKUP(G180,全部!C:AN,38,FALSE)</f>
        <v>61200.000000000007</v>
      </c>
      <c r="AC180" s="4">
        <f>VLOOKUP(G180,全部!C:AO,39,FALSE)</f>
        <v>0</v>
      </c>
      <c r="AD180" s="4">
        <f>VLOOKUP(G180,全部!C:AP,40,FALSE)</f>
        <v>0</v>
      </c>
      <c r="AE180" s="6">
        <f>VLOOKUP(G180,全部!C:AQ,41,FALSE)</f>
        <v>61200.000000000007</v>
      </c>
      <c r="AF180" s="4">
        <f>VLOOKUP(G180,全部!C:AR,42,FALSE)</f>
        <v>0</v>
      </c>
      <c r="AG180" s="7">
        <f>VLOOKUP(G180,全部!C:AS,43,FALSE)</f>
        <v>0</v>
      </c>
      <c r="AH180" s="64" t="str">
        <f>IF(VLOOKUP(G180,全部!C:AT,44,FALSE)=0,"",VLOOKUP(G180,全部!C:AT,44,FALSE))</f>
        <v/>
      </c>
      <c r="AI180">
        <v>0</v>
      </c>
      <c r="AJ180" s="3">
        <v>41912.686249999999</v>
      </c>
      <c r="AK180" s="2" t="s">
        <v>1789</v>
      </c>
    </row>
    <row r="181" spans="1:37" x14ac:dyDescent="0.15">
      <c r="A181" s="2" t="s">
        <v>1788</v>
      </c>
      <c r="B181">
        <v>282</v>
      </c>
      <c r="C181" s="3">
        <v>41821</v>
      </c>
      <c r="D181" s="2" t="s">
        <v>37</v>
      </c>
      <c r="E181" s="2" t="s">
        <v>1787</v>
      </c>
      <c r="F181" s="2" t="s">
        <v>41</v>
      </c>
      <c r="G181" s="2" t="s">
        <v>413</v>
      </c>
      <c r="H181" s="2" t="s">
        <v>414</v>
      </c>
      <c r="I181" s="4">
        <f>VLOOKUP(G181,全部!C:M,11,FALSE)</f>
        <v>80000</v>
      </c>
      <c r="J181" s="4">
        <f t="shared" si="2"/>
        <v>0</v>
      </c>
      <c r="K181" s="4">
        <f>VLOOKUP(计算!G181,全部!C:N,12,FALSE)</f>
        <v>0</v>
      </c>
      <c r="L181" s="5">
        <f>VLOOKUP(G181,全部!C:P,14,FALSE)</f>
        <v>0</v>
      </c>
      <c r="M181" s="5">
        <f>VLOOKUP(G181,全部!C:V,20,FALSE)*100</f>
        <v>8.6</v>
      </c>
      <c r="N181" s="6">
        <f>VLOOKUP(G181,全部!C:W,21,FALSE)</f>
        <v>6879.9999999999991</v>
      </c>
      <c r="O181" s="4">
        <f>VLOOKUP(G181,全部!C:X,22,FALSE)</f>
        <v>0</v>
      </c>
      <c r="P181" s="4">
        <f>VLOOKUP(G181,全部!C:Y,23,FALSE)</f>
        <v>0</v>
      </c>
      <c r="Q181" s="6">
        <f>VLOOKUP(G181,全部!C:Z,24,FALSE)</f>
        <v>6879.9999999999991</v>
      </c>
      <c r="R181" s="7">
        <f>VLOOKUP(G181,全部!C:AA,25,FALSE)</f>
        <v>0</v>
      </c>
      <c r="S181" s="7">
        <f>VLOOKUP(G181,全部!C:AB,26,FALSE)</f>
        <v>0</v>
      </c>
      <c r="T181" s="4">
        <f>VLOOKUP(计算!G181,全部!C:AC,27,FALSE)</f>
        <v>0</v>
      </c>
      <c r="U181" s="4">
        <f>VLOOKUP(G181,全部!C:AD,28,FALSE)</f>
        <v>0</v>
      </c>
      <c r="V181" s="6">
        <f>VLOOKUP(G181,全部!C:AE,29,FALSE)</f>
        <v>0</v>
      </c>
      <c r="W181" s="4">
        <f>VLOOKUP(G181,全部!C:AF,30,FALSE)</f>
        <v>0</v>
      </c>
      <c r="X181" s="4">
        <f>VLOOKUP(G181,全部!C:AG,31,FALSE)</f>
        <v>0</v>
      </c>
      <c r="Y181" s="4">
        <f>VLOOKUP(计算!G181,全部!C:AH,32,FALSE)</f>
        <v>0</v>
      </c>
      <c r="Z181" s="4">
        <f>VLOOKUP(G181,全部!C:AL,36,FALSE)</f>
        <v>0</v>
      </c>
      <c r="AA181" s="4">
        <f>VLOOKUP(G181,全部!C:AM,37,FALSE)</f>
        <v>3.4000000000000002E-2</v>
      </c>
      <c r="AB181" s="6">
        <f>VLOOKUP(G181,全部!C:AN,38,FALSE)</f>
        <v>2720</v>
      </c>
      <c r="AC181" s="4">
        <f>VLOOKUP(G181,全部!C:AO,39,FALSE)</f>
        <v>0</v>
      </c>
      <c r="AD181" s="4">
        <f>VLOOKUP(G181,全部!C:AP,40,FALSE)</f>
        <v>0</v>
      </c>
      <c r="AE181" s="6">
        <f>VLOOKUP(G181,全部!C:AQ,41,FALSE)</f>
        <v>2720</v>
      </c>
      <c r="AF181" s="4">
        <f>VLOOKUP(G181,全部!C:AR,42,FALSE)</f>
        <v>0</v>
      </c>
      <c r="AG181" s="7">
        <f>VLOOKUP(G181,全部!C:AS,43,FALSE)</f>
        <v>0</v>
      </c>
      <c r="AH181" s="64" t="str">
        <f>IF(VLOOKUP(G181,全部!C:AT,44,FALSE)=0,"",VLOOKUP(G181,全部!C:AT,44,FALSE))</f>
        <v/>
      </c>
      <c r="AI181">
        <v>0</v>
      </c>
      <c r="AJ181" s="3">
        <v>41912.686249999999</v>
      </c>
      <c r="AK181" s="2" t="s">
        <v>1786</v>
      </c>
    </row>
    <row r="182" spans="1:37" x14ac:dyDescent="0.15">
      <c r="A182" s="2" t="s">
        <v>1785</v>
      </c>
      <c r="B182">
        <v>277</v>
      </c>
      <c r="C182" s="3">
        <v>41821</v>
      </c>
      <c r="D182" s="2" t="s">
        <v>37</v>
      </c>
      <c r="E182" s="2" t="s">
        <v>1784</v>
      </c>
      <c r="F182" s="2" t="s">
        <v>41</v>
      </c>
      <c r="G182" s="2" t="s">
        <v>409</v>
      </c>
      <c r="H182" s="2" t="s">
        <v>410</v>
      </c>
      <c r="I182" s="4">
        <f>VLOOKUP(G182,全部!C:M,11,FALSE)</f>
        <v>9298739</v>
      </c>
      <c r="J182" s="4">
        <f t="shared" si="2"/>
        <v>0</v>
      </c>
      <c r="K182" s="4">
        <f>VLOOKUP(计算!G182,全部!C:N,12,FALSE)</f>
        <v>0</v>
      </c>
      <c r="L182" s="5">
        <f>VLOOKUP(G182,全部!C:P,14,FALSE)</f>
        <v>0</v>
      </c>
      <c r="M182" s="5">
        <f>VLOOKUP(G182,全部!C:V,20,FALSE)*100</f>
        <v>3</v>
      </c>
      <c r="N182" s="6">
        <f>VLOOKUP(G182,全部!C:W,21,FALSE)</f>
        <v>278962.17</v>
      </c>
      <c r="O182" s="4">
        <f>VLOOKUP(G182,全部!C:X,22,FALSE)</f>
        <v>0</v>
      </c>
      <c r="P182" s="4">
        <f>VLOOKUP(G182,全部!C:Y,23,FALSE)</f>
        <v>0</v>
      </c>
      <c r="Q182" s="6">
        <f>VLOOKUP(G182,全部!C:Z,24,FALSE)</f>
        <v>278962.17</v>
      </c>
      <c r="R182" s="7">
        <f>VLOOKUP(G182,全部!C:AA,25,FALSE)</f>
        <v>0</v>
      </c>
      <c r="S182" s="7">
        <f>VLOOKUP(G182,全部!C:AB,26,FALSE)</f>
        <v>0</v>
      </c>
      <c r="T182" s="4">
        <f>VLOOKUP(计算!G182,全部!C:AC,27,FALSE)</f>
        <v>0</v>
      </c>
      <c r="U182" s="4">
        <f>VLOOKUP(G182,全部!C:AD,28,FALSE)</f>
        <v>0</v>
      </c>
      <c r="V182" s="6">
        <f>VLOOKUP(G182,全部!C:AE,29,FALSE)</f>
        <v>0</v>
      </c>
      <c r="W182" s="4">
        <f>VLOOKUP(G182,全部!C:AF,30,FALSE)</f>
        <v>0</v>
      </c>
      <c r="X182" s="4">
        <f>VLOOKUP(G182,全部!C:AG,31,FALSE)</f>
        <v>0</v>
      </c>
      <c r="Y182" s="4">
        <f>VLOOKUP(计算!G182,全部!C:AH,32,FALSE)</f>
        <v>0</v>
      </c>
      <c r="Z182" s="4">
        <f>VLOOKUP(G182,全部!C:AL,36,FALSE)</f>
        <v>0</v>
      </c>
      <c r="AA182" s="4">
        <f>VLOOKUP(G182,全部!C:AM,37,FALSE)</f>
        <v>0</v>
      </c>
      <c r="AB182" s="6">
        <f>VLOOKUP(G182,全部!C:AN,38,FALSE)</f>
        <v>0</v>
      </c>
      <c r="AC182" s="4">
        <f>VLOOKUP(G182,全部!C:AO,39,FALSE)</f>
        <v>0</v>
      </c>
      <c r="AD182" s="4">
        <f>VLOOKUP(G182,全部!C:AP,40,FALSE)</f>
        <v>0</v>
      </c>
      <c r="AE182" s="6">
        <f>VLOOKUP(G182,全部!C:AQ,41,FALSE)</f>
        <v>0</v>
      </c>
      <c r="AF182" s="4">
        <f>VLOOKUP(G182,全部!C:AR,42,FALSE)</f>
        <v>0</v>
      </c>
      <c r="AG182" s="7">
        <f>VLOOKUP(G182,全部!C:AS,43,FALSE)</f>
        <v>0</v>
      </c>
      <c r="AH182" s="64" t="str">
        <f>IF(VLOOKUP(G182,全部!C:AT,44,FALSE)=0,"",VLOOKUP(G182,全部!C:AT,44,FALSE))</f>
        <v/>
      </c>
      <c r="AI182">
        <v>0</v>
      </c>
      <c r="AJ182" s="3">
        <v>41912.686249999999</v>
      </c>
      <c r="AK182" s="2" t="s">
        <v>1783</v>
      </c>
    </row>
    <row r="183" spans="1:37" x14ac:dyDescent="0.15">
      <c r="A183" s="2" t="s">
        <v>1782</v>
      </c>
      <c r="B183">
        <v>288</v>
      </c>
      <c r="C183" s="3">
        <v>41821</v>
      </c>
      <c r="D183" s="2" t="s">
        <v>37</v>
      </c>
      <c r="E183" s="2" t="s">
        <v>1781</v>
      </c>
      <c r="F183" s="2" t="s">
        <v>41</v>
      </c>
      <c r="G183" s="2" t="s">
        <v>415</v>
      </c>
      <c r="H183" s="2" t="s">
        <v>416</v>
      </c>
      <c r="I183" s="4">
        <f>VLOOKUP(G183,全部!C:M,11,FALSE)</f>
        <v>45000</v>
      </c>
      <c r="J183" s="4">
        <f t="shared" si="2"/>
        <v>0</v>
      </c>
      <c r="K183" s="4">
        <f>VLOOKUP(计算!G183,全部!C:N,12,FALSE)</f>
        <v>0</v>
      </c>
      <c r="L183" s="5">
        <f>VLOOKUP(G183,全部!C:P,14,FALSE)</f>
        <v>0</v>
      </c>
      <c r="M183" s="5">
        <f>VLOOKUP(G183,全部!C:V,20,FALSE)*100</f>
        <v>8.6</v>
      </c>
      <c r="N183" s="6">
        <f>VLOOKUP(G183,全部!C:W,21,FALSE)</f>
        <v>3869.9999999999995</v>
      </c>
      <c r="O183" s="4">
        <f>VLOOKUP(G183,全部!C:X,22,FALSE)</f>
        <v>0</v>
      </c>
      <c r="P183" s="4">
        <f>VLOOKUP(G183,全部!C:Y,23,FALSE)</f>
        <v>0</v>
      </c>
      <c r="Q183" s="6">
        <f>VLOOKUP(G183,全部!C:Z,24,FALSE)</f>
        <v>3869.9999999999995</v>
      </c>
      <c r="R183" s="7">
        <f>VLOOKUP(G183,全部!C:AA,25,FALSE)</f>
        <v>0</v>
      </c>
      <c r="S183" s="7">
        <f>VLOOKUP(G183,全部!C:AB,26,FALSE)</f>
        <v>0</v>
      </c>
      <c r="T183" s="4">
        <f>VLOOKUP(计算!G183,全部!C:AC,27,FALSE)</f>
        <v>0</v>
      </c>
      <c r="U183" s="4">
        <f>VLOOKUP(G183,全部!C:AD,28,FALSE)</f>
        <v>0</v>
      </c>
      <c r="V183" s="6">
        <f>VLOOKUP(G183,全部!C:AE,29,FALSE)</f>
        <v>0</v>
      </c>
      <c r="W183" s="4">
        <f>VLOOKUP(G183,全部!C:AF,30,FALSE)</f>
        <v>0</v>
      </c>
      <c r="X183" s="4">
        <f>VLOOKUP(G183,全部!C:AG,31,FALSE)</f>
        <v>0</v>
      </c>
      <c r="Y183" s="4">
        <f>VLOOKUP(计算!G183,全部!C:AH,32,FALSE)</f>
        <v>0</v>
      </c>
      <c r="Z183" s="4">
        <f>VLOOKUP(G183,全部!C:AL,36,FALSE)</f>
        <v>0</v>
      </c>
      <c r="AA183" s="4">
        <f>VLOOKUP(G183,全部!C:AM,37,FALSE)</f>
        <v>3.4000000000000002E-2</v>
      </c>
      <c r="AB183" s="6">
        <f>VLOOKUP(G183,全部!C:AN,38,FALSE)</f>
        <v>1530</v>
      </c>
      <c r="AC183" s="4">
        <f>VLOOKUP(G183,全部!C:AO,39,FALSE)</f>
        <v>0</v>
      </c>
      <c r="AD183" s="4">
        <f>VLOOKUP(G183,全部!C:AP,40,FALSE)</f>
        <v>0</v>
      </c>
      <c r="AE183" s="6">
        <f>VLOOKUP(G183,全部!C:AQ,41,FALSE)</f>
        <v>1530</v>
      </c>
      <c r="AF183" s="4">
        <f>VLOOKUP(G183,全部!C:AR,42,FALSE)</f>
        <v>0</v>
      </c>
      <c r="AG183" s="7">
        <f>VLOOKUP(G183,全部!C:AS,43,FALSE)</f>
        <v>0</v>
      </c>
      <c r="AH183" s="64" t="str">
        <f>IF(VLOOKUP(G183,全部!C:AT,44,FALSE)=0,"",VLOOKUP(G183,全部!C:AT,44,FALSE))</f>
        <v/>
      </c>
      <c r="AI183">
        <v>0</v>
      </c>
      <c r="AJ183" s="3">
        <v>41912.686249999999</v>
      </c>
      <c r="AK183" s="2" t="s">
        <v>1780</v>
      </c>
    </row>
    <row r="184" spans="1:37" x14ac:dyDescent="0.15">
      <c r="A184" s="2" t="s">
        <v>1779</v>
      </c>
      <c r="B184">
        <v>1199</v>
      </c>
      <c r="C184" s="3">
        <v>41821</v>
      </c>
      <c r="D184" s="2" t="s">
        <v>37</v>
      </c>
      <c r="E184" s="2" t="s">
        <v>1778</v>
      </c>
      <c r="F184" s="2" t="s">
        <v>38</v>
      </c>
      <c r="G184" s="2" t="s">
        <v>411</v>
      </c>
      <c r="H184" s="2" t="s">
        <v>412</v>
      </c>
      <c r="I184" s="4">
        <f>VLOOKUP(G184,全部!C:M,11,FALSE)</f>
        <v>743283</v>
      </c>
      <c r="J184" s="4">
        <f t="shared" si="2"/>
        <v>0</v>
      </c>
      <c r="K184" s="4">
        <f>VLOOKUP(计算!G184,全部!C:N,12,FALSE)</f>
        <v>0</v>
      </c>
      <c r="L184" s="5">
        <f>VLOOKUP(G184,全部!C:P,14,FALSE)</f>
        <v>0</v>
      </c>
      <c r="M184" s="5">
        <f>VLOOKUP(G184,全部!C:V,20,FALSE)*100</f>
        <v>3.5999999999999996</v>
      </c>
      <c r="N184" s="6">
        <f>VLOOKUP(G184,全部!C:W,21,FALSE)</f>
        <v>26758.187999999998</v>
      </c>
      <c r="O184" s="4">
        <f>VLOOKUP(G184,全部!C:X,22,FALSE)</f>
        <v>0</v>
      </c>
      <c r="P184" s="4">
        <f>VLOOKUP(G184,全部!C:Y,23,FALSE)</f>
        <v>0</v>
      </c>
      <c r="Q184" s="6">
        <f>VLOOKUP(G184,全部!C:Z,24,FALSE)</f>
        <v>26758.187999999998</v>
      </c>
      <c r="R184" s="7">
        <f>VLOOKUP(G184,全部!C:AA,25,FALSE)</f>
        <v>631790.55000000005</v>
      </c>
      <c r="S184" s="7">
        <f>VLOOKUP(G184,全部!C:AB,26,FALSE)</f>
        <v>631790.55000000005</v>
      </c>
      <c r="T184" s="4">
        <f>VLOOKUP(计算!G184,全部!C:AC,27,FALSE)</f>
        <v>0</v>
      </c>
      <c r="U184" s="4">
        <f>VLOOKUP(G184,全部!C:AD,28,FALSE)</f>
        <v>0</v>
      </c>
      <c r="V184" s="6">
        <f>VLOOKUP(G184,全部!C:AE,29,FALSE)</f>
        <v>0</v>
      </c>
      <c r="W184" s="4">
        <f>VLOOKUP(G184,全部!C:AF,30,FALSE)</f>
        <v>0</v>
      </c>
      <c r="X184" s="4">
        <f>VLOOKUP(G184,全部!C:AG,31,FALSE)</f>
        <v>0</v>
      </c>
      <c r="Y184" s="4">
        <f>VLOOKUP(计算!G184,全部!C:AH,32,FALSE)</f>
        <v>0</v>
      </c>
      <c r="Z184" s="4">
        <f>VLOOKUP(G184,全部!C:AL,36,FALSE)</f>
        <v>0</v>
      </c>
      <c r="AA184" s="4">
        <f>VLOOKUP(G184,全部!C:AM,37,FALSE)</f>
        <v>0</v>
      </c>
      <c r="AB184" s="6">
        <f>VLOOKUP(G184,全部!C:AN,38,FALSE)</f>
        <v>0</v>
      </c>
      <c r="AC184" s="4">
        <f>VLOOKUP(G184,全部!C:AO,39,FALSE)</f>
        <v>0</v>
      </c>
      <c r="AD184" s="4">
        <f>VLOOKUP(G184,全部!C:AP,40,FALSE)</f>
        <v>0</v>
      </c>
      <c r="AE184" s="6">
        <f>VLOOKUP(G184,全部!C:AQ,41,FALSE)</f>
        <v>0</v>
      </c>
      <c r="AF184" s="4">
        <f>VLOOKUP(G184,全部!C:AR,42,FALSE)</f>
        <v>0</v>
      </c>
      <c r="AG184" s="7">
        <f>VLOOKUP(G184,全部!C:AS,43,FALSE)</f>
        <v>10</v>
      </c>
      <c r="AH184" s="64" t="str">
        <f>IF(VLOOKUP(G184,全部!C:AT,44,FALSE)=0,"",VLOOKUP(G184,全部!C:AT,44,FALSE))</f>
        <v>三河</v>
      </c>
      <c r="AI184">
        <v>0</v>
      </c>
      <c r="AJ184" s="3">
        <v>41912.6862847222</v>
      </c>
      <c r="AK184" s="2" t="s">
        <v>1777</v>
      </c>
    </row>
    <row r="185" spans="1:37" x14ac:dyDescent="0.15">
      <c r="A185" s="2" t="s">
        <v>1776</v>
      </c>
      <c r="B185">
        <v>295</v>
      </c>
      <c r="C185" s="3">
        <v>41821</v>
      </c>
      <c r="D185" s="2" t="s">
        <v>37</v>
      </c>
      <c r="E185" s="2" t="s">
        <v>1775</v>
      </c>
      <c r="F185" s="2" t="s">
        <v>41</v>
      </c>
      <c r="G185" s="2" t="s">
        <v>421</v>
      </c>
      <c r="H185" s="2" t="s">
        <v>422</v>
      </c>
      <c r="I185" s="4">
        <f>VLOOKUP(G185,全部!C:M,11,FALSE)</f>
        <v>737750</v>
      </c>
      <c r="J185" s="4">
        <f t="shared" si="2"/>
        <v>0</v>
      </c>
      <c r="K185" s="4">
        <f>VLOOKUP(计算!G185,全部!C:N,12,FALSE)</f>
        <v>0</v>
      </c>
      <c r="L185" s="5">
        <f>VLOOKUP(G185,全部!C:P,14,FALSE)</f>
        <v>0</v>
      </c>
      <c r="M185" s="5">
        <f>VLOOKUP(G185,全部!C:V,20,FALSE)*100</f>
        <v>8.6</v>
      </c>
      <c r="N185" s="6">
        <f>VLOOKUP(G185,全部!C:W,21,FALSE)</f>
        <v>63446.499999999993</v>
      </c>
      <c r="O185" s="4">
        <f>VLOOKUP(G185,全部!C:X,22,FALSE)</f>
        <v>0</v>
      </c>
      <c r="P185" s="4">
        <f>VLOOKUP(G185,全部!C:Y,23,FALSE)</f>
        <v>0</v>
      </c>
      <c r="Q185" s="6">
        <f>VLOOKUP(G185,全部!C:Z,24,FALSE)</f>
        <v>63446.499999999993</v>
      </c>
      <c r="R185" s="7">
        <f>VLOOKUP(G185,全部!C:AA,25,FALSE)</f>
        <v>0</v>
      </c>
      <c r="S185" s="7">
        <f>VLOOKUP(G185,全部!C:AB,26,FALSE)</f>
        <v>0</v>
      </c>
      <c r="T185" s="4">
        <f>VLOOKUP(计算!G185,全部!C:AC,27,FALSE)</f>
        <v>0</v>
      </c>
      <c r="U185" s="4">
        <f>VLOOKUP(G185,全部!C:AD,28,FALSE)</f>
        <v>0</v>
      </c>
      <c r="V185" s="6">
        <f>VLOOKUP(G185,全部!C:AE,29,FALSE)</f>
        <v>0</v>
      </c>
      <c r="W185" s="4">
        <f>VLOOKUP(G185,全部!C:AF,30,FALSE)</f>
        <v>0</v>
      </c>
      <c r="X185" s="4">
        <f>VLOOKUP(G185,全部!C:AG,31,FALSE)</f>
        <v>0</v>
      </c>
      <c r="Y185" s="4">
        <f>VLOOKUP(计算!G185,全部!C:AH,32,FALSE)</f>
        <v>0</v>
      </c>
      <c r="Z185" s="4">
        <f>VLOOKUP(G185,全部!C:AL,36,FALSE)</f>
        <v>0</v>
      </c>
      <c r="AA185" s="4">
        <f>VLOOKUP(G185,全部!C:AM,37,FALSE)</f>
        <v>3.4000000000000002E-2</v>
      </c>
      <c r="AB185" s="6">
        <f>VLOOKUP(G185,全部!C:AN,38,FALSE)</f>
        <v>25083.5</v>
      </c>
      <c r="AC185" s="4">
        <f>VLOOKUP(G185,全部!C:AO,39,FALSE)</f>
        <v>0</v>
      </c>
      <c r="AD185" s="4">
        <f>VLOOKUP(G185,全部!C:AP,40,FALSE)</f>
        <v>0</v>
      </c>
      <c r="AE185" s="6">
        <f>VLOOKUP(G185,全部!C:AQ,41,FALSE)</f>
        <v>25083.5</v>
      </c>
      <c r="AF185" s="4">
        <f>VLOOKUP(G185,全部!C:AR,42,FALSE)</f>
        <v>0</v>
      </c>
      <c r="AG185" s="7">
        <f>VLOOKUP(G185,全部!C:AS,43,FALSE)</f>
        <v>0</v>
      </c>
      <c r="AH185" s="64" t="str">
        <f>IF(VLOOKUP(G185,全部!C:AT,44,FALSE)=0,"",VLOOKUP(G185,全部!C:AT,44,FALSE))</f>
        <v/>
      </c>
      <c r="AI185">
        <v>0</v>
      </c>
      <c r="AJ185" s="3">
        <v>41912.686249999999</v>
      </c>
      <c r="AK185" s="2" t="s">
        <v>1774</v>
      </c>
    </row>
    <row r="186" spans="1:37" x14ac:dyDescent="0.15">
      <c r="A186" s="2" t="s">
        <v>1773</v>
      </c>
      <c r="B186">
        <v>303</v>
      </c>
      <c r="C186" s="3">
        <v>41821</v>
      </c>
      <c r="D186" s="2" t="s">
        <v>37</v>
      </c>
      <c r="E186" s="2" t="s">
        <v>1772</v>
      </c>
      <c r="F186" s="2" t="s">
        <v>41</v>
      </c>
      <c r="G186" s="2" t="s">
        <v>419</v>
      </c>
      <c r="H186" s="2" t="s">
        <v>420</v>
      </c>
      <c r="I186" s="4">
        <f>VLOOKUP(G186,全部!C:M,11,FALSE)</f>
        <v>660000</v>
      </c>
      <c r="J186" s="4">
        <f t="shared" si="2"/>
        <v>0</v>
      </c>
      <c r="K186" s="4">
        <f>VLOOKUP(计算!G186,全部!C:N,12,FALSE)</f>
        <v>0</v>
      </c>
      <c r="L186" s="5">
        <f>VLOOKUP(G186,全部!C:P,14,FALSE)</f>
        <v>0</v>
      </c>
      <c r="M186" s="5">
        <f>VLOOKUP(G186,全部!C:V,20,FALSE)*100</f>
        <v>3.5999999999999996</v>
      </c>
      <c r="N186" s="6">
        <f>VLOOKUP(G186,全部!C:W,21,FALSE)</f>
        <v>23760</v>
      </c>
      <c r="O186" s="4">
        <f>VLOOKUP(G186,全部!C:X,22,FALSE)</f>
        <v>0</v>
      </c>
      <c r="P186" s="4">
        <f>VLOOKUP(G186,全部!C:Y,23,FALSE)</f>
        <v>0</v>
      </c>
      <c r="Q186" s="6">
        <f>VLOOKUP(G186,全部!C:Z,24,FALSE)</f>
        <v>23760</v>
      </c>
      <c r="R186" s="7">
        <f>VLOOKUP(G186,全部!C:AA,25,FALSE)</f>
        <v>0</v>
      </c>
      <c r="S186" s="7">
        <f>VLOOKUP(G186,全部!C:AB,26,FALSE)</f>
        <v>0</v>
      </c>
      <c r="T186" s="4">
        <f>VLOOKUP(计算!G186,全部!C:AC,27,FALSE)</f>
        <v>198000</v>
      </c>
      <c r="U186" s="4">
        <f>VLOOKUP(G186,全部!C:AD,28,FALSE)</f>
        <v>198000</v>
      </c>
      <c r="V186" s="6">
        <f>VLOOKUP(G186,全部!C:AE,29,FALSE)</f>
        <v>0.3</v>
      </c>
      <c r="W186" s="4">
        <f>VLOOKUP(G186,全部!C:AF,30,FALSE)</f>
        <v>0</v>
      </c>
      <c r="X186" s="4">
        <f>VLOOKUP(G186,全部!C:AG,31,FALSE)</f>
        <v>0</v>
      </c>
      <c r="Y186" s="4">
        <f>VLOOKUP(计算!G186,全部!C:AH,32,FALSE)</f>
        <v>151800</v>
      </c>
      <c r="Z186" s="4">
        <f>VLOOKUP(G186,全部!C:AL,36,FALSE)</f>
        <v>151800</v>
      </c>
      <c r="AA186" s="4">
        <f>VLOOKUP(G186,全部!C:AM,37,FALSE)</f>
        <v>3.4000000000000002E-2</v>
      </c>
      <c r="AB186" s="6">
        <f>VLOOKUP(G186,全部!C:AN,38,FALSE)</f>
        <v>22440</v>
      </c>
      <c r="AC186" s="4">
        <f>VLOOKUP(G186,全部!C:AO,39,FALSE)</f>
        <v>6732</v>
      </c>
      <c r="AD186" s="4">
        <f>VLOOKUP(G186,全部!C:AP,40,FALSE)</f>
        <v>6732</v>
      </c>
      <c r="AE186" s="6">
        <f>VLOOKUP(G186,全部!C:AQ,41,FALSE)</f>
        <v>15708</v>
      </c>
      <c r="AF186" s="4">
        <f>VLOOKUP(G186,全部!C:AR,42,FALSE)</f>
        <v>0</v>
      </c>
      <c r="AG186" s="7">
        <f>VLOOKUP(G186,全部!C:AS,43,FALSE)</f>
        <v>0</v>
      </c>
      <c r="AH186" s="64" t="str">
        <f>IF(VLOOKUP(G186,全部!C:AT,44,FALSE)=0,"",VLOOKUP(G186,全部!C:AT,44,FALSE))</f>
        <v/>
      </c>
      <c r="AI186">
        <v>0</v>
      </c>
      <c r="AJ186" s="3">
        <v>41912.686249999999</v>
      </c>
      <c r="AK186" s="2" t="s">
        <v>1771</v>
      </c>
    </row>
    <row r="187" spans="1:37" x14ac:dyDescent="0.15">
      <c r="A187" s="2" t="s">
        <v>1770</v>
      </c>
      <c r="B187">
        <v>1216</v>
      </c>
      <c r="C187" s="3">
        <v>41821</v>
      </c>
      <c r="D187" s="2" t="s">
        <v>37</v>
      </c>
      <c r="E187" s="2" t="s">
        <v>1769</v>
      </c>
      <c r="F187" s="2" t="s">
        <v>38</v>
      </c>
      <c r="G187" s="2" t="s">
        <v>397</v>
      </c>
      <c r="H187" s="2" t="s">
        <v>398</v>
      </c>
      <c r="I187" s="4">
        <f>VLOOKUP(G187,全部!C:M,11,FALSE)</f>
        <v>1758061</v>
      </c>
      <c r="J187" s="4">
        <f t="shared" si="2"/>
        <v>0</v>
      </c>
      <c r="K187" s="4">
        <f>VLOOKUP(计算!G187,全部!C:N,12,FALSE)</f>
        <v>0</v>
      </c>
      <c r="L187" s="5">
        <f>VLOOKUP(G187,全部!C:P,14,FALSE)</f>
        <v>0</v>
      </c>
      <c r="M187" s="5">
        <f>VLOOKUP(G187,全部!C:V,20,FALSE)*100</f>
        <v>3.5999999999999996</v>
      </c>
      <c r="N187" s="6">
        <f>VLOOKUP(G187,全部!C:W,21,FALSE)</f>
        <v>63290.195999999996</v>
      </c>
      <c r="O187" s="4">
        <f>VLOOKUP(G187,全部!C:X,22,FALSE)</f>
        <v>0</v>
      </c>
      <c r="P187" s="4">
        <f>VLOOKUP(G187,全部!C:Y,23,FALSE)</f>
        <v>0</v>
      </c>
      <c r="Q187" s="6">
        <f>VLOOKUP(G187,全部!C:Z,24,FALSE)</f>
        <v>63290.195999999996</v>
      </c>
      <c r="R187" s="7">
        <f>VLOOKUP(G187,全部!C:AA,25,FALSE)</f>
        <v>527418.30000000005</v>
      </c>
      <c r="S187" s="7">
        <f>VLOOKUP(G187,全部!C:AB,26,FALSE)</f>
        <v>527418.30000000005</v>
      </c>
      <c r="T187" s="4">
        <f>VLOOKUP(计算!G187,全部!C:AC,27,FALSE)</f>
        <v>0</v>
      </c>
      <c r="U187" s="4">
        <f>VLOOKUP(G187,全部!C:AD,28,FALSE)</f>
        <v>0</v>
      </c>
      <c r="V187" s="6">
        <f>VLOOKUP(G187,全部!C:AE,29,FALSE)</f>
        <v>0</v>
      </c>
      <c r="W187" s="4">
        <f>VLOOKUP(G187,全部!C:AF,30,FALSE)</f>
        <v>0</v>
      </c>
      <c r="X187" s="4">
        <f>VLOOKUP(G187,全部!C:AG,31,FALSE)</f>
        <v>0</v>
      </c>
      <c r="Y187" s="4">
        <f>VLOOKUP(计算!G187,全部!C:AH,32,FALSE)</f>
        <v>0</v>
      </c>
      <c r="Z187" s="4">
        <f>VLOOKUP(G187,全部!C:AL,36,FALSE)</f>
        <v>0</v>
      </c>
      <c r="AA187" s="4">
        <f>VLOOKUP(G187,全部!C:AM,37,FALSE)</f>
        <v>3.4000000000000002E-2</v>
      </c>
      <c r="AB187" s="6">
        <f>VLOOKUP(G187,全部!C:AN,38,FALSE)</f>
        <v>17932.222200000004</v>
      </c>
      <c r="AC187" s="4">
        <f>VLOOKUP(G187,全部!C:AO,39,FALSE)</f>
        <v>0</v>
      </c>
      <c r="AD187" s="4">
        <f>VLOOKUP(G187,全部!C:AP,40,FALSE)</f>
        <v>0</v>
      </c>
      <c r="AE187" s="6">
        <f>VLOOKUP(G187,全部!C:AQ,41,FALSE)</f>
        <v>17932.222200000004</v>
      </c>
      <c r="AF187" s="4">
        <f>VLOOKUP(G187,全部!C:AR,42,FALSE)</f>
        <v>0</v>
      </c>
      <c r="AG187" s="7">
        <f>VLOOKUP(G187,全部!C:AS,43,FALSE)</f>
        <v>0</v>
      </c>
      <c r="AH187" s="64" t="str">
        <f>IF(VLOOKUP(G187,全部!C:AT,44,FALSE)=0,"",VLOOKUP(G187,全部!C:AT,44,FALSE))</f>
        <v/>
      </c>
      <c r="AI187">
        <v>0</v>
      </c>
      <c r="AJ187" s="3">
        <v>41912.6862847222</v>
      </c>
      <c r="AK187" s="2" t="s">
        <v>1768</v>
      </c>
    </row>
    <row r="188" spans="1:37" x14ac:dyDescent="0.15">
      <c r="A188" s="2" t="s">
        <v>1767</v>
      </c>
      <c r="B188">
        <v>308</v>
      </c>
      <c r="C188" s="3">
        <v>41821</v>
      </c>
      <c r="D188" s="2" t="s">
        <v>37</v>
      </c>
      <c r="E188" s="2" t="s">
        <v>1766</v>
      </c>
      <c r="F188" s="2" t="s">
        <v>41</v>
      </c>
      <c r="G188" s="2" t="s">
        <v>423</v>
      </c>
      <c r="H188" s="2" t="s">
        <v>424</v>
      </c>
      <c r="I188" s="4">
        <f>VLOOKUP(G188,全部!C:M,11,FALSE)</f>
        <v>65000</v>
      </c>
      <c r="J188" s="4">
        <f t="shared" si="2"/>
        <v>0</v>
      </c>
      <c r="K188" s="4">
        <f>VLOOKUP(计算!G188,全部!C:N,12,FALSE)</f>
        <v>0</v>
      </c>
      <c r="L188" s="5">
        <f>VLOOKUP(G188,全部!C:P,14,FALSE)</f>
        <v>0</v>
      </c>
      <c r="M188" s="5">
        <f>VLOOKUP(G188,全部!C:V,20,FALSE)*100</f>
        <v>8.6</v>
      </c>
      <c r="N188" s="6">
        <f>VLOOKUP(G188,全部!C:W,21,FALSE)</f>
        <v>5590</v>
      </c>
      <c r="O188" s="4">
        <f>VLOOKUP(G188,全部!C:X,22,FALSE)</f>
        <v>0</v>
      </c>
      <c r="P188" s="4">
        <f>VLOOKUP(G188,全部!C:Y,23,FALSE)</f>
        <v>0</v>
      </c>
      <c r="Q188" s="6">
        <f>VLOOKUP(G188,全部!C:Z,24,FALSE)</f>
        <v>5590</v>
      </c>
      <c r="R188" s="7">
        <f>VLOOKUP(G188,全部!C:AA,25,FALSE)</f>
        <v>0</v>
      </c>
      <c r="S188" s="7">
        <f>VLOOKUP(G188,全部!C:AB,26,FALSE)</f>
        <v>0</v>
      </c>
      <c r="T188" s="4">
        <f>VLOOKUP(计算!G188,全部!C:AC,27,FALSE)</f>
        <v>0</v>
      </c>
      <c r="U188" s="4">
        <f>VLOOKUP(G188,全部!C:AD,28,FALSE)</f>
        <v>0</v>
      </c>
      <c r="V188" s="6">
        <f>VLOOKUP(G188,全部!C:AE,29,FALSE)</f>
        <v>0</v>
      </c>
      <c r="W188" s="4">
        <f>VLOOKUP(G188,全部!C:AF,30,FALSE)</f>
        <v>0</v>
      </c>
      <c r="X188" s="4">
        <f>VLOOKUP(G188,全部!C:AG,31,FALSE)</f>
        <v>0</v>
      </c>
      <c r="Y188" s="4">
        <f>VLOOKUP(计算!G188,全部!C:AH,32,FALSE)</f>
        <v>0</v>
      </c>
      <c r="Z188" s="4">
        <f>VLOOKUP(G188,全部!C:AL,36,FALSE)</f>
        <v>0</v>
      </c>
      <c r="AA188" s="4">
        <f>VLOOKUP(G188,全部!C:AM,37,FALSE)</f>
        <v>3.4000000000000002E-2</v>
      </c>
      <c r="AB188" s="6">
        <f>VLOOKUP(G188,全部!C:AN,38,FALSE)</f>
        <v>2210</v>
      </c>
      <c r="AC188" s="4">
        <f>VLOOKUP(G188,全部!C:AO,39,FALSE)</f>
        <v>0</v>
      </c>
      <c r="AD188" s="4">
        <f>VLOOKUP(G188,全部!C:AP,40,FALSE)</f>
        <v>0</v>
      </c>
      <c r="AE188" s="6">
        <f>VLOOKUP(G188,全部!C:AQ,41,FALSE)</f>
        <v>2210</v>
      </c>
      <c r="AF188" s="4">
        <f>VLOOKUP(G188,全部!C:AR,42,FALSE)</f>
        <v>0</v>
      </c>
      <c r="AG188" s="7">
        <f>VLOOKUP(G188,全部!C:AS,43,FALSE)</f>
        <v>0</v>
      </c>
      <c r="AH188" s="64" t="str">
        <f>IF(VLOOKUP(G188,全部!C:AT,44,FALSE)=0,"",VLOOKUP(G188,全部!C:AT,44,FALSE))</f>
        <v/>
      </c>
      <c r="AI188">
        <v>0</v>
      </c>
      <c r="AJ188" s="3">
        <v>41912.686249999999</v>
      </c>
      <c r="AK188" s="2" t="s">
        <v>1765</v>
      </c>
    </row>
    <row r="189" spans="1:37" x14ac:dyDescent="0.15">
      <c r="A189" s="2" t="s">
        <v>1764</v>
      </c>
      <c r="B189">
        <v>253</v>
      </c>
      <c r="C189" s="3">
        <v>41821</v>
      </c>
      <c r="D189" s="2" t="s">
        <v>37</v>
      </c>
      <c r="E189" s="2" t="s">
        <v>1763</v>
      </c>
      <c r="F189" s="2" t="s">
        <v>41</v>
      </c>
      <c r="G189" s="2" t="s">
        <v>427</v>
      </c>
      <c r="H189" s="2" t="s">
        <v>428</v>
      </c>
      <c r="I189" s="4">
        <f>VLOOKUP(G189,全部!C:M,11,FALSE)</f>
        <v>23840000</v>
      </c>
      <c r="J189" s="4">
        <f t="shared" si="2"/>
        <v>0</v>
      </c>
      <c r="K189" s="4">
        <f>VLOOKUP(计算!G189,全部!C:N,12,FALSE)</f>
        <v>0</v>
      </c>
      <c r="L189" s="5">
        <f>VLOOKUP(G189,全部!C:P,14,FALSE)</f>
        <v>0</v>
      </c>
      <c r="M189" s="5">
        <f>VLOOKUP(G189,全部!C:V,20,FALSE)*100</f>
        <v>3</v>
      </c>
      <c r="N189" s="6">
        <f>VLOOKUP(G189,全部!C:W,21,FALSE)</f>
        <v>715200</v>
      </c>
      <c r="O189" s="4">
        <f>VLOOKUP(G189,全部!C:X,22,FALSE)</f>
        <v>0</v>
      </c>
      <c r="P189" s="4">
        <f>VLOOKUP(G189,全部!C:Y,23,FALSE)</f>
        <v>0</v>
      </c>
      <c r="Q189" s="6">
        <f>VLOOKUP(G189,全部!C:Z,24,FALSE)</f>
        <v>715200</v>
      </c>
      <c r="R189" s="7">
        <f>VLOOKUP(G189,全部!C:AA,25,FALSE)</f>
        <v>0</v>
      </c>
      <c r="S189" s="7">
        <f>VLOOKUP(G189,全部!C:AB,26,FALSE)</f>
        <v>0</v>
      </c>
      <c r="T189" s="4">
        <f>VLOOKUP(计算!G189,全部!C:AC,27,FALSE)</f>
        <v>0</v>
      </c>
      <c r="U189" s="4">
        <f>VLOOKUP(G189,全部!C:AD,28,FALSE)</f>
        <v>0</v>
      </c>
      <c r="V189" s="6">
        <f>VLOOKUP(G189,全部!C:AE,29,FALSE)</f>
        <v>0</v>
      </c>
      <c r="W189" s="4">
        <f>VLOOKUP(G189,全部!C:AF,30,FALSE)</f>
        <v>0</v>
      </c>
      <c r="X189" s="4">
        <f>VLOOKUP(G189,全部!C:AG,31,FALSE)</f>
        <v>0</v>
      </c>
      <c r="Y189" s="4">
        <f>VLOOKUP(计算!G189,全部!C:AH,32,FALSE)</f>
        <v>0</v>
      </c>
      <c r="Z189" s="4">
        <f>VLOOKUP(G189,全部!C:AL,36,FALSE)</f>
        <v>0</v>
      </c>
      <c r="AA189" s="4">
        <f>VLOOKUP(G189,全部!C:AM,37,FALSE)</f>
        <v>3.4000000000000002E-2</v>
      </c>
      <c r="AB189" s="6">
        <f>VLOOKUP(G189,全部!C:AN,38,FALSE)</f>
        <v>810560</v>
      </c>
      <c r="AC189" s="4">
        <f>VLOOKUP(G189,全部!C:AO,39,FALSE)</f>
        <v>0</v>
      </c>
      <c r="AD189" s="4">
        <f>VLOOKUP(G189,全部!C:AP,40,FALSE)</f>
        <v>0</v>
      </c>
      <c r="AE189" s="6">
        <f>VLOOKUP(G189,全部!C:AQ,41,FALSE)</f>
        <v>810560</v>
      </c>
      <c r="AF189" s="4">
        <f>VLOOKUP(G189,全部!C:AR,42,FALSE)</f>
        <v>0</v>
      </c>
      <c r="AG189" s="7">
        <f>VLOOKUP(G189,全部!C:AS,43,FALSE)</f>
        <v>0</v>
      </c>
      <c r="AH189" s="64" t="str">
        <f>IF(VLOOKUP(G189,全部!C:AT,44,FALSE)=0,"",VLOOKUP(G189,全部!C:AT,44,FALSE))</f>
        <v/>
      </c>
      <c r="AI189">
        <v>0</v>
      </c>
      <c r="AJ189" s="3">
        <v>41912.6862384259</v>
      </c>
      <c r="AK189" s="2" t="s">
        <v>1762</v>
      </c>
    </row>
    <row r="190" spans="1:37" x14ac:dyDescent="0.15">
      <c r="A190" s="2" t="s">
        <v>1761</v>
      </c>
      <c r="B190">
        <v>244</v>
      </c>
      <c r="C190" s="3">
        <v>41821</v>
      </c>
      <c r="D190" s="2" t="s">
        <v>37</v>
      </c>
      <c r="E190" s="2" t="s">
        <v>1760</v>
      </c>
      <c r="F190" s="2" t="s">
        <v>41</v>
      </c>
      <c r="G190" s="2" t="s">
        <v>425</v>
      </c>
      <c r="H190" s="2" t="s">
        <v>426</v>
      </c>
      <c r="I190" s="4">
        <f>VLOOKUP(G190,全部!C:M,11,FALSE)</f>
        <v>630000</v>
      </c>
      <c r="J190" s="4">
        <f t="shared" si="2"/>
        <v>0</v>
      </c>
      <c r="K190" s="4">
        <f>VLOOKUP(计算!G190,全部!C:N,12,FALSE)</f>
        <v>0</v>
      </c>
      <c r="L190" s="5">
        <f>VLOOKUP(G190,全部!C:P,14,FALSE)</f>
        <v>0</v>
      </c>
      <c r="M190" s="5">
        <f>VLOOKUP(G190,全部!C:V,20,FALSE)*100</f>
        <v>8.6</v>
      </c>
      <c r="N190" s="6">
        <f>VLOOKUP(G190,全部!C:W,21,FALSE)</f>
        <v>54179.999999999993</v>
      </c>
      <c r="O190" s="4">
        <f>VLOOKUP(G190,全部!C:X,22,FALSE)</f>
        <v>54180</v>
      </c>
      <c r="P190" s="4">
        <f>VLOOKUP(G190,全部!C:Y,23,FALSE)</f>
        <v>54180</v>
      </c>
      <c r="Q190" s="6">
        <f>VLOOKUP(G190,全部!C:Z,24,FALSE)</f>
        <v>0</v>
      </c>
      <c r="R190" s="7">
        <f>VLOOKUP(G190,全部!C:AA,25,FALSE)</f>
        <v>0</v>
      </c>
      <c r="S190" s="7">
        <f>VLOOKUP(G190,全部!C:AB,26,FALSE)</f>
        <v>0</v>
      </c>
      <c r="T190" s="4">
        <f>VLOOKUP(计算!G190,全部!C:AC,27,FALSE)</f>
        <v>441000</v>
      </c>
      <c r="U190" s="4">
        <f>VLOOKUP(G190,全部!C:AD,28,FALSE)</f>
        <v>441000</v>
      </c>
      <c r="V190" s="6">
        <f>VLOOKUP(G190,全部!C:AE,29,FALSE)</f>
        <v>0.7</v>
      </c>
      <c r="W190" s="4">
        <f>VLOOKUP(G190,全部!C:AF,30,FALSE)</f>
        <v>0</v>
      </c>
      <c r="X190" s="4">
        <f>VLOOKUP(G190,全部!C:AG,31,FALSE)</f>
        <v>0</v>
      </c>
      <c r="Y190" s="4">
        <f>VLOOKUP(计算!G190,全部!C:AH,32,FALSE)</f>
        <v>400000</v>
      </c>
      <c r="Z190" s="4">
        <f>VLOOKUP(G190,全部!C:AL,36,FALSE)</f>
        <v>400000</v>
      </c>
      <c r="AA190" s="4">
        <f>VLOOKUP(G190,全部!C:AM,37,FALSE)</f>
        <v>3.4000000000000002E-2</v>
      </c>
      <c r="AB190" s="6">
        <f>VLOOKUP(G190,全部!C:AN,38,FALSE)</f>
        <v>21420</v>
      </c>
      <c r="AC190" s="4">
        <f>VLOOKUP(G190,全部!C:AO,39,FALSE)</f>
        <v>14994</v>
      </c>
      <c r="AD190" s="4">
        <f>VLOOKUP(G190,全部!C:AP,40,FALSE)</f>
        <v>14994</v>
      </c>
      <c r="AE190" s="6">
        <f>VLOOKUP(G190,全部!C:AQ,41,FALSE)</f>
        <v>6426</v>
      </c>
      <c r="AF190" s="4">
        <f>VLOOKUP(G190,全部!C:AR,42,FALSE)</f>
        <v>0</v>
      </c>
      <c r="AG190" s="7">
        <f>VLOOKUP(G190,全部!C:AS,43,FALSE)</f>
        <v>0</v>
      </c>
      <c r="AH190" s="64" t="str">
        <f>IF(VLOOKUP(G190,全部!C:AT,44,FALSE)=0,"",VLOOKUP(G190,全部!C:AT,44,FALSE))</f>
        <v/>
      </c>
      <c r="AI190">
        <v>0</v>
      </c>
      <c r="AJ190" s="3">
        <v>41912.6862384259</v>
      </c>
      <c r="AK190" s="2" t="s">
        <v>1759</v>
      </c>
    </row>
    <row r="191" spans="1:37" x14ac:dyDescent="0.15">
      <c r="A191" s="2" t="s">
        <v>1758</v>
      </c>
      <c r="B191">
        <v>266</v>
      </c>
      <c r="C191" s="3">
        <v>41821</v>
      </c>
      <c r="D191" s="2" t="s">
        <v>37</v>
      </c>
      <c r="E191" s="2" t="s">
        <v>1757</v>
      </c>
      <c r="F191" s="2" t="s">
        <v>41</v>
      </c>
      <c r="G191" s="2" t="s">
        <v>429</v>
      </c>
      <c r="H191" s="2" t="s">
        <v>430</v>
      </c>
      <c r="I191" s="4">
        <f>VLOOKUP(G191,全部!C:M,11,FALSE)</f>
        <v>4215575</v>
      </c>
      <c r="J191" s="4">
        <f t="shared" si="2"/>
        <v>0</v>
      </c>
      <c r="K191" s="4">
        <f>VLOOKUP(计算!G191,全部!C:N,12,FALSE)</f>
        <v>0</v>
      </c>
      <c r="L191" s="5">
        <f>VLOOKUP(G191,全部!C:P,14,FALSE)</f>
        <v>0</v>
      </c>
      <c r="M191" s="5">
        <f>VLOOKUP(G191,全部!C:V,20,FALSE)*100</f>
        <v>3.5999999999999996</v>
      </c>
      <c r="N191" s="6">
        <f>VLOOKUP(G191,全部!C:W,21,FALSE)</f>
        <v>151760.69999999998</v>
      </c>
      <c r="O191" s="4">
        <f>VLOOKUP(G191,全部!C:X,22,FALSE)</f>
        <v>0</v>
      </c>
      <c r="P191" s="4">
        <f>VLOOKUP(G191,全部!C:Y,23,FALSE)</f>
        <v>0</v>
      </c>
      <c r="Q191" s="6">
        <f>VLOOKUP(G191,全部!C:Z,24,FALSE)</f>
        <v>151760.69999999998</v>
      </c>
      <c r="R191" s="7">
        <f>VLOOKUP(G191,全部!C:AA,25,FALSE)</f>
        <v>0</v>
      </c>
      <c r="S191" s="7">
        <f>VLOOKUP(G191,全部!C:AB,26,FALSE)</f>
        <v>0</v>
      </c>
      <c r="T191" s="4">
        <f>VLOOKUP(计算!G191,全部!C:AC,27,FALSE)</f>
        <v>500000</v>
      </c>
      <c r="U191" s="4">
        <f>VLOOKUP(G191,全部!C:AD,28,FALSE)</f>
        <v>500000</v>
      </c>
      <c r="V191" s="6">
        <f>VLOOKUP(G191,全部!C:AE,29,FALSE)</f>
        <v>0.1186077818565676</v>
      </c>
      <c r="W191" s="4">
        <f>VLOOKUP(G191,全部!C:AF,30,FALSE)</f>
        <v>0</v>
      </c>
      <c r="X191" s="4">
        <f>VLOOKUP(G191,全部!C:AG,31,FALSE)</f>
        <v>0</v>
      </c>
      <c r="Y191" s="4">
        <f>VLOOKUP(计算!G191,全部!C:AH,32,FALSE)</f>
        <v>502460.92</v>
      </c>
      <c r="Z191" s="4">
        <f>VLOOKUP(G191,全部!C:AL,36,FALSE)</f>
        <v>502460.92</v>
      </c>
      <c r="AA191" s="4">
        <f>VLOOKUP(G191,全部!C:AM,37,FALSE)</f>
        <v>3.4000000000000002E-2</v>
      </c>
      <c r="AB191" s="6">
        <f>VLOOKUP(G191,全部!C:AN,38,FALSE)</f>
        <v>143329.55000000002</v>
      </c>
      <c r="AC191" s="4">
        <f>VLOOKUP(G191,全部!C:AO,39,FALSE)</f>
        <v>0</v>
      </c>
      <c r="AD191" s="4">
        <f>VLOOKUP(G191,全部!C:AP,40,FALSE)</f>
        <v>0</v>
      </c>
      <c r="AE191" s="6">
        <f>VLOOKUP(G191,全部!C:AQ,41,FALSE)</f>
        <v>143329.55000000002</v>
      </c>
      <c r="AF191" s="4">
        <f>VLOOKUP(G191,全部!C:AR,42,FALSE)</f>
        <v>700000</v>
      </c>
      <c r="AG191" s="7">
        <f>VLOOKUP(G191,全部!C:AS,43,FALSE)</f>
        <v>0</v>
      </c>
      <c r="AH191" s="64" t="str">
        <f>IF(VLOOKUP(G191,全部!C:AT,44,FALSE)=0,"",VLOOKUP(G191,全部!C:AT,44,FALSE))</f>
        <v/>
      </c>
      <c r="AI191">
        <v>0</v>
      </c>
      <c r="AJ191" s="3">
        <v>41912.686249999999</v>
      </c>
      <c r="AK191" s="2" t="s">
        <v>1756</v>
      </c>
    </row>
    <row r="192" spans="1:37" x14ac:dyDescent="0.15">
      <c r="A192" s="2" t="s">
        <v>1755</v>
      </c>
      <c r="B192">
        <v>275</v>
      </c>
      <c r="C192" s="3">
        <v>41821</v>
      </c>
      <c r="D192" s="2" t="s">
        <v>37</v>
      </c>
      <c r="E192" s="2" t="s">
        <v>1754</v>
      </c>
      <c r="F192" s="2" t="s">
        <v>41</v>
      </c>
      <c r="G192" s="2" t="s">
        <v>431</v>
      </c>
      <c r="H192" s="2" t="s">
        <v>432</v>
      </c>
      <c r="I192" s="4">
        <f>VLOOKUP(G192,全部!C:M,11,FALSE)</f>
        <v>60000</v>
      </c>
      <c r="J192" s="4">
        <f t="shared" si="2"/>
        <v>0</v>
      </c>
      <c r="K192" s="4">
        <f>VLOOKUP(计算!G192,全部!C:N,12,FALSE)</f>
        <v>0</v>
      </c>
      <c r="L192" s="5">
        <f>VLOOKUP(G192,全部!C:P,14,FALSE)</f>
        <v>0</v>
      </c>
      <c r="M192" s="5">
        <f>VLOOKUP(G192,全部!C:V,20,FALSE)*100</f>
        <v>8.6</v>
      </c>
      <c r="N192" s="6">
        <f>VLOOKUP(G192,全部!C:W,21,FALSE)</f>
        <v>5160</v>
      </c>
      <c r="O192" s="4">
        <f>VLOOKUP(G192,全部!C:X,22,FALSE)</f>
        <v>5160</v>
      </c>
      <c r="P192" s="4">
        <f>VLOOKUP(G192,全部!C:Y,23,FALSE)</f>
        <v>5160</v>
      </c>
      <c r="Q192" s="6">
        <f>VLOOKUP(G192,全部!C:Z,24,FALSE)</f>
        <v>0</v>
      </c>
      <c r="R192" s="7">
        <f>VLOOKUP(G192,全部!C:AA,25,FALSE)</f>
        <v>0</v>
      </c>
      <c r="S192" s="7">
        <f>VLOOKUP(G192,全部!C:AB,26,FALSE)</f>
        <v>0</v>
      </c>
      <c r="T192" s="4">
        <f>VLOOKUP(计算!G192,全部!C:AC,27,FALSE)</f>
        <v>48000</v>
      </c>
      <c r="U192" s="4">
        <f>VLOOKUP(G192,全部!C:AD,28,FALSE)</f>
        <v>48000</v>
      </c>
      <c r="V192" s="6">
        <f>VLOOKUP(G192,全部!C:AE,29,FALSE)</f>
        <v>0.8</v>
      </c>
      <c r="W192" s="4">
        <f>VLOOKUP(G192,全部!C:AF,30,FALSE)</f>
        <v>0</v>
      </c>
      <c r="X192" s="4">
        <f>VLOOKUP(G192,全部!C:AG,31,FALSE)</f>
        <v>0</v>
      </c>
      <c r="Y192" s="4">
        <f>VLOOKUP(计算!G192,全部!C:AH,32,FALSE)</f>
        <v>48000</v>
      </c>
      <c r="Z192" s="4">
        <f>VLOOKUP(G192,全部!C:AL,36,FALSE)</f>
        <v>48000</v>
      </c>
      <c r="AA192" s="4">
        <f>VLOOKUP(G192,全部!C:AM,37,FALSE)</f>
        <v>3.4000000000000002E-2</v>
      </c>
      <c r="AB192" s="6">
        <f>VLOOKUP(G192,全部!C:AN,38,FALSE)</f>
        <v>2040.0000000000002</v>
      </c>
      <c r="AC192" s="4">
        <f>VLOOKUP(G192,全部!C:AO,39,FALSE)</f>
        <v>0</v>
      </c>
      <c r="AD192" s="4">
        <f>VLOOKUP(G192,全部!C:AP,40,FALSE)</f>
        <v>0</v>
      </c>
      <c r="AE192" s="6">
        <f>VLOOKUP(G192,全部!C:AQ,41,FALSE)</f>
        <v>2040.0000000000002</v>
      </c>
      <c r="AF192" s="4">
        <f>VLOOKUP(G192,全部!C:AR,42,FALSE)</f>
        <v>0</v>
      </c>
      <c r="AG192" s="7">
        <f>VLOOKUP(G192,全部!C:AS,43,FALSE)</f>
        <v>0</v>
      </c>
      <c r="AH192" s="64" t="str">
        <f>IF(VLOOKUP(G192,全部!C:AT,44,FALSE)=0,"",VLOOKUP(G192,全部!C:AT,44,FALSE))</f>
        <v/>
      </c>
      <c r="AI192">
        <v>0</v>
      </c>
      <c r="AJ192" s="3">
        <v>41912.686249999999</v>
      </c>
      <c r="AK192" s="2" t="s">
        <v>1753</v>
      </c>
    </row>
    <row r="193" spans="1:37" x14ac:dyDescent="0.15">
      <c r="A193" s="2" t="s">
        <v>1752</v>
      </c>
      <c r="B193">
        <v>286</v>
      </c>
      <c r="C193" s="3">
        <v>41821</v>
      </c>
      <c r="D193" s="2" t="s">
        <v>37</v>
      </c>
      <c r="E193" s="2" t="s">
        <v>1751</v>
      </c>
      <c r="F193" s="2" t="s">
        <v>41</v>
      </c>
      <c r="G193" s="2" t="s">
        <v>435</v>
      </c>
      <c r="H193" s="2" t="s">
        <v>436</v>
      </c>
      <c r="I193" s="4">
        <f>VLOOKUP(G193,全部!C:M,11,FALSE)</f>
        <v>1108000</v>
      </c>
      <c r="J193" s="4">
        <f t="shared" si="2"/>
        <v>0</v>
      </c>
      <c r="K193" s="4">
        <f>VLOOKUP(计算!G193,全部!C:N,12,FALSE)</f>
        <v>0</v>
      </c>
      <c r="L193" s="5">
        <f>VLOOKUP(G193,全部!C:P,14,FALSE)</f>
        <v>0</v>
      </c>
      <c r="M193" s="5">
        <f>VLOOKUP(G193,全部!C:V,20,FALSE)*100</f>
        <v>3.5999999999999996</v>
      </c>
      <c r="N193" s="6">
        <f>VLOOKUP(G193,全部!C:W,21,FALSE)</f>
        <v>39888</v>
      </c>
      <c r="O193" s="4">
        <f>VLOOKUP(G193,全部!C:X,22,FALSE)</f>
        <v>0</v>
      </c>
      <c r="P193" s="4">
        <f>VLOOKUP(G193,全部!C:Y,23,FALSE)</f>
        <v>0</v>
      </c>
      <c r="Q193" s="6">
        <f>VLOOKUP(G193,全部!C:Z,24,FALSE)</f>
        <v>39888</v>
      </c>
      <c r="R193" s="7">
        <f>VLOOKUP(G193,全部!C:AA,25,FALSE)</f>
        <v>0</v>
      </c>
      <c r="S193" s="7">
        <f>VLOOKUP(G193,全部!C:AB,26,FALSE)</f>
        <v>0</v>
      </c>
      <c r="T193" s="4">
        <f>VLOOKUP(计算!G193,全部!C:AC,27,FALSE)</f>
        <v>150000</v>
      </c>
      <c r="U193" s="4">
        <f>VLOOKUP(G193,全部!C:AD,28,FALSE)</f>
        <v>150000</v>
      </c>
      <c r="V193" s="6">
        <f>VLOOKUP(G193,全部!C:AE,29,FALSE)</f>
        <v>0.13537906137184116</v>
      </c>
      <c r="W193" s="4">
        <f>VLOOKUP(G193,全部!C:AF,30,FALSE)</f>
        <v>0</v>
      </c>
      <c r="X193" s="4">
        <f>VLOOKUP(G193,全部!C:AG,31,FALSE)</f>
        <v>0</v>
      </c>
      <c r="Y193" s="4">
        <f>VLOOKUP(计算!G193,全部!C:AH,32,FALSE)</f>
        <v>137713</v>
      </c>
      <c r="Z193" s="4">
        <f>VLOOKUP(G193,全部!C:AL,36,FALSE)</f>
        <v>137713</v>
      </c>
      <c r="AA193" s="4">
        <f>VLOOKUP(G193,全部!C:AM,37,FALSE)</f>
        <v>3.4000000000000002E-2</v>
      </c>
      <c r="AB193" s="6">
        <f>VLOOKUP(G193,全部!C:AN,38,FALSE)</f>
        <v>37672</v>
      </c>
      <c r="AC193" s="4">
        <f>VLOOKUP(G193,全部!C:AO,39,FALSE)</f>
        <v>30600</v>
      </c>
      <c r="AD193" s="4">
        <f>VLOOKUP(G193,全部!C:AP,40,FALSE)</f>
        <v>30600</v>
      </c>
      <c r="AE193" s="6">
        <f>VLOOKUP(G193,全部!C:AQ,41,FALSE)</f>
        <v>7072</v>
      </c>
      <c r="AF193" s="4">
        <f>VLOOKUP(G193,全部!C:AR,42,FALSE)</f>
        <v>0</v>
      </c>
      <c r="AG193" s="7">
        <f>VLOOKUP(G193,全部!C:AS,43,FALSE)</f>
        <v>0</v>
      </c>
      <c r="AH193" s="64" t="str">
        <f>IF(VLOOKUP(G193,全部!C:AT,44,FALSE)=0,"",VLOOKUP(G193,全部!C:AT,44,FALSE))</f>
        <v/>
      </c>
      <c r="AI193">
        <v>0</v>
      </c>
      <c r="AJ193" s="3">
        <v>41912.686249999999</v>
      </c>
      <c r="AK193" s="2" t="s">
        <v>1750</v>
      </c>
    </row>
    <row r="194" spans="1:37" x14ac:dyDescent="0.15">
      <c r="A194" s="2" t="s">
        <v>1749</v>
      </c>
      <c r="B194">
        <v>280</v>
      </c>
      <c r="C194" s="3">
        <v>41821</v>
      </c>
      <c r="D194" s="2" t="s">
        <v>37</v>
      </c>
      <c r="E194" s="2" t="s">
        <v>1748</v>
      </c>
      <c r="F194" s="2" t="s">
        <v>41</v>
      </c>
      <c r="G194" s="2" t="s">
        <v>433</v>
      </c>
      <c r="H194" s="2" t="s">
        <v>434</v>
      </c>
      <c r="I194" s="4">
        <f>VLOOKUP(G194,全部!C:M,11,FALSE)</f>
        <v>507387</v>
      </c>
      <c r="J194" s="4">
        <f t="shared" si="2"/>
        <v>0</v>
      </c>
      <c r="K194" s="4">
        <f>VLOOKUP(计算!G194,全部!C:N,12,FALSE)</f>
        <v>0</v>
      </c>
      <c r="L194" s="5">
        <f>VLOOKUP(G194,全部!C:P,14,FALSE)</f>
        <v>0</v>
      </c>
      <c r="M194" s="5">
        <f>VLOOKUP(G194,全部!C:V,20,FALSE)*100</f>
        <v>3.5999999999999996</v>
      </c>
      <c r="N194" s="6">
        <f>VLOOKUP(G194,全部!C:W,21,FALSE)</f>
        <v>18265.931999999997</v>
      </c>
      <c r="O194" s="4">
        <f>VLOOKUP(G194,全部!C:X,22,FALSE)</f>
        <v>0</v>
      </c>
      <c r="P194" s="4">
        <f>VLOOKUP(G194,全部!C:Y,23,FALSE)</f>
        <v>0</v>
      </c>
      <c r="Q194" s="6">
        <f>VLOOKUP(G194,全部!C:Z,24,FALSE)</f>
        <v>18265.931999999997</v>
      </c>
      <c r="R194" s="7">
        <f>VLOOKUP(G194,全部!C:AA,25,FALSE)</f>
        <v>0</v>
      </c>
      <c r="S194" s="7">
        <f>VLOOKUP(G194,全部!C:AB,26,FALSE)</f>
        <v>0</v>
      </c>
      <c r="T194" s="4">
        <f>VLOOKUP(计算!G194,全部!C:AC,27,FALSE)</f>
        <v>279062.84999999998</v>
      </c>
      <c r="U194" s="4">
        <f>VLOOKUP(G194,全部!C:AD,28,FALSE)</f>
        <v>279062.84999999998</v>
      </c>
      <c r="V194" s="6">
        <f>VLOOKUP(G194,全部!C:AE,29,FALSE)</f>
        <v>0.54999999999999993</v>
      </c>
      <c r="W194" s="4">
        <f>VLOOKUP(G194,全部!C:AF,30,FALSE)</f>
        <v>0</v>
      </c>
      <c r="X194" s="4">
        <f>VLOOKUP(G194,全部!C:AG,31,FALSE)</f>
        <v>0</v>
      </c>
      <c r="Y194" s="4">
        <f>VLOOKUP(计算!G194,全部!C:AH,32,FALSE)</f>
        <v>154000</v>
      </c>
      <c r="Z194" s="4">
        <f>VLOOKUP(G194,全部!C:AL,36,FALSE)</f>
        <v>154000</v>
      </c>
      <c r="AA194" s="4">
        <f>VLOOKUP(G194,全部!C:AM,37,FALSE)</f>
        <v>3.4000000000000002E-2</v>
      </c>
      <c r="AB194" s="6">
        <f>VLOOKUP(G194,全部!C:AN,38,FALSE)</f>
        <v>17251.157999999999</v>
      </c>
      <c r="AC194" s="4">
        <f>VLOOKUP(G194,全部!C:AO,39,FALSE)</f>
        <v>0</v>
      </c>
      <c r="AD194" s="4">
        <f>VLOOKUP(G194,全部!C:AP,40,FALSE)</f>
        <v>0</v>
      </c>
      <c r="AE194" s="6">
        <f>VLOOKUP(G194,全部!C:AQ,41,FALSE)</f>
        <v>17251.157999999999</v>
      </c>
      <c r="AF194" s="4">
        <f>VLOOKUP(G194,全部!C:AR,42,FALSE)</f>
        <v>0</v>
      </c>
      <c r="AG194" s="7">
        <f>VLOOKUP(G194,全部!C:AS,43,FALSE)</f>
        <v>0</v>
      </c>
      <c r="AH194" s="64" t="str">
        <f>IF(VLOOKUP(G194,全部!C:AT,44,FALSE)=0,"",VLOOKUP(G194,全部!C:AT,44,FALSE))</f>
        <v/>
      </c>
      <c r="AI194">
        <v>0</v>
      </c>
      <c r="AJ194" s="3">
        <v>41912.686249999999</v>
      </c>
      <c r="AK194" s="2" t="s">
        <v>1747</v>
      </c>
    </row>
    <row r="195" spans="1:37" x14ac:dyDescent="0.15">
      <c r="A195" s="2" t="s">
        <v>1746</v>
      </c>
      <c r="B195">
        <v>291</v>
      </c>
      <c r="C195" s="3">
        <v>41821</v>
      </c>
      <c r="D195" s="2" t="s">
        <v>37</v>
      </c>
      <c r="E195" s="2" t="s">
        <v>1745</v>
      </c>
      <c r="F195" s="2" t="s">
        <v>41</v>
      </c>
      <c r="G195" s="2" t="s">
        <v>439</v>
      </c>
      <c r="H195" s="2" t="s">
        <v>440</v>
      </c>
      <c r="I195" s="4">
        <f>VLOOKUP(G195,全部!C:M,11,FALSE)</f>
        <v>2063932</v>
      </c>
      <c r="J195" s="4">
        <f t="shared" ref="J195:J215" si="3">K195</f>
        <v>0</v>
      </c>
      <c r="K195" s="4">
        <f>VLOOKUP(计算!G195,全部!C:N,12,FALSE)</f>
        <v>0</v>
      </c>
      <c r="L195" s="5">
        <f>VLOOKUP(G195,全部!C:P,14,FALSE)</f>
        <v>0</v>
      </c>
      <c r="M195" s="5">
        <f>VLOOKUP(G195,全部!C:V,20,FALSE)*100</f>
        <v>8.6</v>
      </c>
      <c r="N195" s="6">
        <f>VLOOKUP(G195,全部!C:W,21,FALSE)</f>
        <v>177498.15199999997</v>
      </c>
      <c r="O195" s="4">
        <f>VLOOKUP(G195,全部!C:X,22,FALSE)</f>
        <v>0</v>
      </c>
      <c r="P195" s="4">
        <f>VLOOKUP(G195,全部!C:Y,23,FALSE)</f>
        <v>0</v>
      </c>
      <c r="Q195" s="6">
        <f>VLOOKUP(G195,全部!C:Z,24,FALSE)</f>
        <v>177498.15199999997</v>
      </c>
      <c r="R195" s="7">
        <f>VLOOKUP(G195,全部!C:AA,25,FALSE)</f>
        <v>0</v>
      </c>
      <c r="S195" s="7">
        <f>VLOOKUP(G195,全部!C:AB,26,FALSE)</f>
        <v>0</v>
      </c>
      <c r="T195" s="4">
        <f>VLOOKUP(计算!G195,全部!C:AC,27,FALSE)</f>
        <v>309589.8</v>
      </c>
      <c r="U195" s="4">
        <f>VLOOKUP(G195,全部!C:AD,28,FALSE)</f>
        <v>309589.8</v>
      </c>
      <c r="V195" s="6">
        <f>VLOOKUP(G195,全部!C:AE,29,FALSE)</f>
        <v>0.15</v>
      </c>
      <c r="W195" s="4">
        <f>VLOOKUP(G195,全部!C:AF,30,FALSE)</f>
        <v>0</v>
      </c>
      <c r="X195" s="4">
        <f>VLOOKUP(G195,全部!C:AG,31,FALSE)</f>
        <v>0</v>
      </c>
      <c r="Y195" s="4">
        <f>VLOOKUP(计算!G195,全部!C:AH,32,FALSE)</f>
        <v>309589.8</v>
      </c>
      <c r="Z195" s="4">
        <f>VLOOKUP(G195,全部!C:AL,36,FALSE)</f>
        <v>309589.8</v>
      </c>
      <c r="AA195" s="4">
        <f>VLOOKUP(G195,全部!C:AM,37,FALSE)</f>
        <v>3.4000000000000002E-2</v>
      </c>
      <c r="AB195" s="6">
        <f>VLOOKUP(G195,全部!C:AN,38,FALSE)</f>
        <v>70173.688000000009</v>
      </c>
      <c r="AC195" s="4">
        <f>VLOOKUP(G195,全部!C:AO,39,FALSE)</f>
        <v>0</v>
      </c>
      <c r="AD195" s="4">
        <f>VLOOKUP(G195,全部!C:AP,40,FALSE)</f>
        <v>0</v>
      </c>
      <c r="AE195" s="6">
        <f>VLOOKUP(G195,全部!C:AQ,41,FALSE)</f>
        <v>70173.688000000009</v>
      </c>
      <c r="AF195" s="4">
        <f>VLOOKUP(G195,全部!C:AR,42,FALSE)</f>
        <v>0</v>
      </c>
      <c r="AG195" s="7">
        <f>VLOOKUP(G195,全部!C:AS,43,FALSE)</f>
        <v>0</v>
      </c>
      <c r="AH195" s="64" t="str">
        <f>IF(VLOOKUP(G195,全部!C:AT,44,FALSE)=0,"",VLOOKUP(G195,全部!C:AT,44,FALSE))</f>
        <v/>
      </c>
      <c r="AI195">
        <v>0</v>
      </c>
      <c r="AJ195" s="3">
        <v>41912.686249999999</v>
      </c>
      <c r="AK195" s="2" t="s">
        <v>1744</v>
      </c>
    </row>
    <row r="196" spans="1:37" x14ac:dyDescent="0.15">
      <c r="A196" s="2" t="s">
        <v>1743</v>
      </c>
      <c r="B196">
        <v>296</v>
      </c>
      <c r="C196" s="3">
        <v>41821</v>
      </c>
      <c r="D196" s="2" t="s">
        <v>37</v>
      </c>
      <c r="E196" s="2" t="s">
        <v>1742</v>
      </c>
      <c r="F196" s="2" t="s">
        <v>41</v>
      </c>
      <c r="G196" s="2" t="s">
        <v>437</v>
      </c>
      <c r="H196" s="2" t="s">
        <v>438</v>
      </c>
      <c r="I196" s="4">
        <f>VLOOKUP(G196,全部!C:M,11,FALSE)</f>
        <v>50000</v>
      </c>
      <c r="J196" s="4">
        <f t="shared" si="3"/>
        <v>0</v>
      </c>
      <c r="K196" s="4">
        <f>VLOOKUP(计算!G196,全部!C:N,12,FALSE)</f>
        <v>0</v>
      </c>
      <c r="L196" s="5">
        <f>VLOOKUP(G196,全部!C:P,14,FALSE)</f>
        <v>0</v>
      </c>
      <c r="M196" s="5">
        <f>VLOOKUP(G196,全部!C:V,20,FALSE)*100</f>
        <v>8.6</v>
      </c>
      <c r="N196" s="6">
        <f>VLOOKUP(G196,全部!C:W,21,FALSE)</f>
        <v>4300</v>
      </c>
      <c r="O196" s="4">
        <f>VLOOKUP(G196,全部!C:X,22,FALSE)</f>
        <v>0</v>
      </c>
      <c r="P196" s="4">
        <f>VLOOKUP(G196,全部!C:Y,23,FALSE)</f>
        <v>0</v>
      </c>
      <c r="Q196" s="6">
        <f>VLOOKUP(G196,全部!C:Z,24,FALSE)</f>
        <v>4300</v>
      </c>
      <c r="R196" s="7">
        <f>VLOOKUP(G196,全部!C:AA,25,FALSE)</f>
        <v>0</v>
      </c>
      <c r="S196" s="7">
        <f>VLOOKUP(G196,全部!C:AB,26,FALSE)</f>
        <v>0</v>
      </c>
      <c r="T196" s="4">
        <f>VLOOKUP(计算!G196,全部!C:AC,27,FALSE)</f>
        <v>0</v>
      </c>
      <c r="U196" s="4">
        <f>VLOOKUP(G196,全部!C:AD,28,FALSE)</f>
        <v>0</v>
      </c>
      <c r="V196" s="6">
        <f>VLOOKUP(G196,全部!C:AE,29,FALSE)</f>
        <v>0</v>
      </c>
      <c r="W196" s="4">
        <f>VLOOKUP(G196,全部!C:AF,30,FALSE)</f>
        <v>0</v>
      </c>
      <c r="X196" s="4">
        <f>VLOOKUP(G196,全部!C:AG,31,FALSE)</f>
        <v>0</v>
      </c>
      <c r="Y196" s="4">
        <f>VLOOKUP(计算!G196,全部!C:AH,32,FALSE)</f>
        <v>0</v>
      </c>
      <c r="Z196" s="4">
        <f>VLOOKUP(G196,全部!C:AL,36,FALSE)</f>
        <v>0</v>
      </c>
      <c r="AA196" s="4">
        <f>VLOOKUP(G196,全部!C:AM,37,FALSE)</f>
        <v>3.4000000000000002E-2</v>
      </c>
      <c r="AB196" s="6">
        <f>VLOOKUP(G196,全部!C:AN,38,FALSE)</f>
        <v>1700.0000000000002</v>
      </c>
      <c r="AC196" s="4">
        <f>VLOOKUP(G196,全部!C:AO,39,FALSE)</f>
        <v>0</v>
      </c>
      <c r="AD196" s="4">
        <f>VLOOKUP(G196,全部!C:AP,40,FALSE)</f>
        <v>0</v>
      </c>
      <c r="AE196" s="6">
        <f>VLOOKUP(G196,全部!C:AQ,41,FALSE)</f>
        <v>1700.0000000000002</v>
      </c>
      <c r="AF196" s="4">
        <f>VLOOKUP(G196,全部!C:AR,42,FALSE)</f>
        <v>0</v>
      </c>
      <c r="AG196" s="7">
        <f>VLOOKUP(G196,全部!C:AS,43,FALSE)</f>
        <v>0</v>
      </c>
      <c r="AH196" s="64" t="str">
        <f>IF(VLOOKUP(G196,全部!C:AT,44,FALSE)=0,"",VLOOKUP(G196,全部!C:AT,44,FALSE))</f>
        <v/>
      </c>
      <c r="AI196">
        <v>0</v>
      </c>
      <c r="AJ196" s="3">
        <v>41912.686249999999</v>
      </c>
      <c r="AK196" s="2" t="s">
        <v>1741</v>
      </c>
    </row>
    <row r="197" spans="1:37" x14ac:dyDescent="0.15">
      <c r="A197" s="2" t="s">
        <v>1740</v>
      </c>
      <c r="B197">
        <v>1212</v>
      </c>
      <c r="C197" s="3">
        <v>41821</v>
      </c>
      <c r="D197" s="2" t="s">
        <v>37</v>
      </c>
      <c r="E197" s="2" t="s">
        <v>1739</v>
      </c>
      <c r="F197" s="2" t="s">
        <v>38</v>
      </c>
      <c r="G197" s="2" t="s">
        <v>417</v>
      </c>
      <c r="H197" s="2" t="s">
        <v>418</v>
      </c>
      <c r="I197" s="4">
        <f>VLOOKUP(G197,全部!C:M,11,FALSE)</f>
        <v>1885067.2</v>
      </c>
      <c r="J197" s="4">
        <f t="shared" si="3"/>
        <v>0</v>
      </c>
      <c r="K197" s="4">
        <f>VLOOKUP(计算!G197,全部!C:N,12,FALSE)</f>
        <v>0</v>
      </c>
      <c r="L197" s="5">
        <f>VLOOKUP(G197,全部!C:P,14,FALSE)</f>
        <v>0</v>
      </c>
      <c r="M197" s="5">
        <f>VLOOKUP(G197,全部!C:V,20,FALSE)*100</f>
        <v>3.5999999999999996</v>
      </c>
      <c r="N197" s="6">
        <f>VLOOKUP(G197,全部!C:W,21,FALSE)</f>
        <v>67862.419199999989</v>
      </c>
      <c r="O197" s="4">
        <f>VLOOKUP(G197,全部!C:X,22,FALSE)</f>
        <v>0</v>
      </c>
      <c r="P197" s="4">
        <f>VLOOKUP(G197,全部!C:Y,23,FALSE)</f>
        <v>0</v>
      </c>
      <c r="Q197" s="6">
        <f>VLOOKUP(G197,全部!C:Z,24,FALSE)</f>
        <v>67862.419199999989</v>
      </c>
      <c r="R197" s="7">
        <f>VLOOKUP(G197,全部!C:AA,25,FALSE)</f>
        <v>565520</v>
      </c>
      <c r="S197" s="7">
        <f>VLOOKUP(G197,全部!C:AB,26,FALSE)</f>
        <v>565520</v>
      </c>
      <c r="T197" s="4">
        <f>VLOOKUP(计算!G197,全部!C:AC,27,FALSE)</f>
        <v>0</v>
      </c>
      <c r="U197" s="4">
        <f>VLOOKUP(G197,全部!C:AD,28,FALSE)</f>
        <v>0</v>
      </c>
      <c r="V197" s="6">
        <f>VLOOKUP(G197,全部!C:AE,29,FALSE)</f>
        <v>0</v>
      </c>
      <c r="W197" s="4">
        <f>VLOOKUP(G197,全部!C:AF,30,FALSE)</f>
        <v>0</v>
      </c>
      <c r="X197" s="4">
        <f>VLOOKUP(G197,全部!C:AG,31,FALSE)</f>
        <v>0</v>
      </c>
      <c r="Y197" s="4">
        <f>VLOOKUP(计算!G197,全部!C:AH,32,FALSE)</f>
        <v>0</v>
      </c>
      <c r="Z197" s="4">
        <f>VLOOKUP(G197,全部!C:AL,36,FALSE)</f>
        <v>0</v>
      </c>
      <c r="AA197" s="4">
        <f>VLOOKUP(G197,全部!C:AM,37,FALSE)</f>
        <v>3.4000000000000002E-2</v>
      </c>
      <c r="AB197" s="6">
        <f>VLOOKUP(G197,全部!C:AN,38,FALSE)</f>
        <v>19227.68</v>
      </c>
      <c r="AC197" s="4">
        <f>VLOOKUP(G197,全部!C:AO,39,FALSE)</f>
        <v>0</v>
      </c>
      <c r="AD197" s="4">
        <f>VLOOKUP(G197,全部!C:AP,40,FALSE)</f>
        <v>0</v>
      </c>
      <c r="AE197" s="6">
        <f>VLOOKUP(G197,全部!C:AQ,41,FALSE)</f>
        <v>19227.68</v>
      </c>
      <c r="AF197" s="4">
        <f>VLOOKUP(G197,全部!C:AR,42,FALSE)</f>
        <v>0</v>
      </c>
      <c r="AG197" s="7">
        <f>VLOOKUP(G197,全部!C:AS,43,FALSE)</f>
        <v>21</v>
      </c>
      <c r="AH197" s="64" t="str">
        <f>IF(VLOOKUP(G197,全部!C:AT,44,FALSE)=0,"",VLOOKUP(G197,全部!C:AT,44,FALSE))</f>
        <v>亦庄</v>
      </c>
      <c r="AI197">
        <v>0</v>
      </c>
      <c r="AJ197" s="3">
        <v>41912.6862847222</v>
      </c>
      <c r="AK197" s="2" t="s">
        <v>1738</v>
      </c>
    </row>
    <row r="198" spans="1:37" x14ac:dyDescent="0.15">
      <c r="A198" s="2" t="s">
        <v>1737</v>
      </c>
      <c r="B198">
        <v>304</v>
      </c>
      <c r="C198" s="3">
        <v>41821</v>
      </c>
      <c r="D198" s="2" t="s">
        <v>37</v>
      </c>
      <c r="E198" s="2" t="s">
        <v>1736</v>
      </c>
      <c r="F198" s="2" t="s">
        <v>41</v>
      </c>
      <c r="G198" s="2" t="s">
        <v>443</v>
      </c>
      <c r="H198" s="2" t="s">
        <v>444</v>
      </c>
      <c r="I198" s="4">
        <f>VLOOKUP(G198,全部!C:M,11,FALSE)</f>
        <v>248000</v>
      </c>
      <c r="J198" s="4">
        <f t="shared" si="3"/>
        <v>0</v>
      </c>
      <c r="K198" s="4">
        <f>VLOOKUP(计算!G198,全部!C:N,12,FALSE)</f>
        <v>0</v>
      </c>
      <c r="L198" s="5">
        <f>VLOOKUP(G198,全部!C:P,14,FALSE)</f>
        <v>0</v>
      </c>
      <c r="M198" s="5">
        <f>VLOOKUP(G198,全部!C:V,20,FALSE)*100</f>
        <v>8.6</v>
      </c>
      <c r="N198" s="6">
        <f>VLOOKUP(G198,全部!C:W,21,FALSE)</f>
        <v>21328</v>
      </c>
      <c r="O198" s="4">
        <f>VLOOKUP(G198,全部!C:X,22,FALSE)</f>
        <v>0</v>
      </c>
      <c r="P198" s="4">
        <f>VLOOKUP(G198,全部!C:Y,23,FALSE)</f>
        <v>0</v>
      </c>
      <c r="Q198" s="6">
        <f>VLOOKUP(G198,全部!C:Z,24,FALSE)</f>
        <v>21328</v>
      </c>
      <c r="R198" s="7">
        <f>VLOOKUP(G198,全部!C:AA,25,FALSE)</f>
        <v>0</v>
      </c>
      <c r="S198" s="7">
        <f>VLOOKUP(G198,全部!C:AB,26,FALSE)</f>
        <v>0</v>
      </c>
      <c r="T198" s="4">
        <f>VLOOKUP(计算!G198,全部!C:AC,27,FALSE)</f>
        <v>0</v>
      </c>
      <c r="U198" s="4">
        <f>VLOOKUP(G198,全部!C:AD,28,FALSE)</f>
        <v>0</v>
      </c>
      <c r="V198" s="6">
        <f>VLOOKUP(G198,全部!C:AE,29,FALSE)</f>
        <v>0</v>
      </c>
      <c r="W198" s="4">
        <f>VLOOKUP(G198,全部!C:AF,30,FALSE)</f>
        <v>0</v>
      </c>
      <c r="X198" s="4">
        <f>VLOOKUP(G198,全部!C:AG,31,FALSE)</f>
        <v>0</v>
      </c>
      <c r="Y198" s="4">
        <f>VLOOKUP(计算!G198,全部!C:AH,32,FALSE)</f>
        <v>0</v>
      </c>
      <c r="Z198" s="4">
        <f>VLOOKUP(G198,全部!C:AL,36,FALSE)</f>
        <v>0</v>
      </c>
      <c r="AA198" s="4">
        <f>VLOOKUP(G198,全部!C:AM,37,FALSE)</f>
        <v>3.4000000000000002E-2</v>
      </c>
      <c r="AB198" s="6">
        <f>VLOOKUP(G198,全部!C:AN,38,FALSE)</f>
        <v>8432</v>
      </c>
      <c r="AC198" s="4">
        <f>VLOOKUP(G198,全部!C:AO,39,FALSE)</f>
        <v>0</v>
      </c>
      <c r="AD198" s="4">
        <f>VLOOKUP(G198,全部!C:AP,40,FALSE)</f>
        <v>0</v>
      </c>
      <c r="AE198" s="6">
        <f>VLOOKUP(G198,全部!C:AQ,41,FALSE)</f>
        <v>8432</v>
      </c>
      <c r="AF198" s="4">
        <f>VLOOKUP(G198,全部!C:AR,42,FALSE)</f>
        <v>0</v>
      </c>
      <c r="AG198" s="7">
        <f>VLOOKUP(G198,全部!C:AS,43,FALSE)</f>
        <v>0</v>
      </c>
      <c r="AH198" s="64" t="str">
        <f>IF(VLOOKUP(G198,全部!C:AT,44,FALSE)=0,"",VLOOKUP(G198,全部!C:AT,44,FALSE))</f>
        <v/>
      </c>
      <c r="AI198">
        <v>0</v>
      </c>
      <c r="AJ198" s="3">
        <v>41912.686249999999</v>
      </c>
      <c r="AK198" s="2" t="s">
        <v>1735</v>
      </c>
    </row>
    <row r="199" spans="1:37" x14ac:dyDescent="0.15">
      <c r="A199" s="2" t="s">
        <v>1734</v>
      </c>
      <c r="B199">
        <v>309</v>
      </c>
      <c r="C199" s="3">
        <v>41821</v>
      </c>
      <c r="D199" s="2" t="s">
        <v>37</v>
      </c>
      <c r="E199" s="2" t="s">
        <v>1733</v>
      </c>
      <c r="F199" s="2" t="s">
        <v>41</v>
      </c>
      <c r="G199" s="2" t="s">
        <v>445</v>
      </c>
      <c r="H199" s="2" t="s">
        <v>446</v>
      </c>
      <c r="I199" s="4">
        <f>VLOOKUP(G199,全部!C:M,11,FALSE)</f>
        <v>967901.04</v>
      </c>
      <c r="J199" s="4">
        <f t="shared" si="3"/>
        <v>0</v>
      </c>
      <c r="K199" s="4">
        <f>VLOOKUP(计算!G199,全部!C:N,12,FALSE)</f>
        <v>0</v>
      </c>
      <c r="L199" s="5">
        <f>VLOOKUP(G199,全部!C:P,14,FALSE)</f>
        <v>0</v>
      </c>
      <c r="M199" s="5">
        <f>VLOOKUP(G199,全部!C:V,20,FALSE)*100</f>
        <v>3.5999999999999996</v>
      </c>
      <c r="N199" s="6">
        <f>VLOOKUP(G199,全部!C:W,21,FALSE)</f>
        <v>34844.437440000002</v>
      </c>
      <c r="O199" s="4">
        <f>VLOOKUP(G199,全部!C:X,22,FALSE)</f>
        <v>0</v>
      </c>
      <c r="P199" s="4">
        <f>VLOOKUP(G199,全部!C:Y,23,FALSE)</f>
        <v>0</v>
      </c>
      <c r="Q199" s="6">
        <f>VLOOKUP(G199,全部!C:Z,24,FALSE)</f>
        <v>34844.437440000002</v>
      </c>
      <c r="R199" s="7">
        <f>VLOOKUP(G199,全部!C:AA,25,FALSE)</f>
        <v>0</v>
      </c>
      <c r="S199" s="7">
        <f>VLOOKUP(G199,全部!C:AB,26,FALSE)</f>
        <v>0</v>
      </c>
      <c r="T199" s="4">
        <f>VLOOKUP(计算!G199,全部!C:AC,27,FALSE)</f>
        <v>0</v>
      </c>
      <c r="U199" s="4">
        <f>VLOOKUP(G199,全部!C:AD,28,FALSE)</f>
        <v>0</v>
      </c>
      <c r="V199" s="6">
        <f>VLOOKUP(G199,全部!C:AE,29,FALSE)</f>
        <v>0</v>
      </c>
      <c r="W199" s="4">
        <f>VLOOKUP(G199,全部!C:AF,30,FALSE)</f>
        <v>0</v>
      </c>
      <c r="X199" s="4">
        <f>VLOOKUP(G199,全部!C:AG,31,FALSE)</f>
        <v>0</v>
      </c>
      <c r="Y199" s="4">
        <f>VLOOKUP(计算!G199,全部!C:AH,32,FALSE)</f>
        <v>0</v>
      </c>
      <c r="Z199" s="4">
        <f>VLOOKUP(G199,全部!C:AL,36,FALSE)</f>
        <v>0</v>
      </c>
      <c r="AA199" s="4">
        <f>VLOOKUP(G199,全部!C:AM,37,FALSE)</f>
        <v>0</v>
      </c>
      <c r="AB199" s="6">
        <f>VLOOKUP(G199,全部!C:AN,38,FALSE)</f>
        <v>0</v>
      </c>
      <c r="AC199" s="4">
        <f>VLOOKUP(G199,全部!C:AO,39,FALSE)</f>
        <v>0</v>
      </c>
      <c r="AD199" s="4">
        <f>VLOOKUP(G199,全部!C:AP,40,FALSE)</f>
        <v>0</v>
      </c>
      <c r="AE199" s="6">
        <f>VLOOKUP(G199,全部!C:AQ,41,FALSE)</f>
        <v>0</v>
      </c>
      <c r="AF199" s="4">
        <f>VLOOKUP(G199,全部!C:AR,42,FALSE)</f>
        <v>0</v>
      </c>
      <c r="AG199" s="7">
        <f>VLOOKUP(G199,全部!C:AS,43,FALSE)</f>
        <v>0</v>
      </c>
      <c r="AH199" s="64" t="str">
        <f>IF(VLOOKUP(G199,全部!C:AT,44,FALSE)=0,"",VLOOKUP(G199,全部!C:AT,44,FALSE))</f>
        <v/>
      </c>
      <c r="AI199">
        <v>0</v>
      </c>
      <c r="AJ199" s="3">
        <v>41912.686249999999</v>
      </c>
      <c r="AK199" s="2" t="s">
        <v>1732</v>
      </c>
    </row>
    <row r="200" spans="1:37" x14ac:dyDescent="0.15">
      <c r="A200" s="2" t="s">
        <v>1731</v>
      </c>
      <c r="B200">
        <v>237</v>
      </c>
      <c r="C200" s="3">
        <v>41821</v>
      </c>
      <c r="D200" s="2" t="s">
        <v>37</v>
      </c>
      <c r="E200" s="2" t="s">
        <v>1730</v>
      </c>
      <c r="F200" s="2" t="s">
        <v>41</v>
      </c>
      <c r="G200" s="2" t="s">
        <v>449</v>
      </c>
      <c r="H200" s="2" t="s">
        <v>450</v>
      </c>
      <c r="I200" s="4">
        <f>VLOOKUP(G200,全部!C:M,11,FALSE)</f>
        <v>50000</v>
      </c>
      <c r="J200" s="4">
        <f t="shared" si="3"/>
        <v>0</v>
      </c>
      <c r="K200" s="4">
        <f>VLOOKUP(计算!G200,全部!C:N,12,FALSE)</f>
        <v>0</v>
      </c>
      <c r="L200" s="5">
        <f>VLOOKUP(G200,全部!C:P,14,FALSE)</f>
        <v>0</v>
      </c>
      <c r="M200" s="5">
        <f>VLOOKUP(G200,全部!C:V,20,FALSE)*100</f>
        <v>8.6</v>
      </c>
      <c r="N200" s="6">
        <f>VLOOKUP(G200,全部!C:W,21,FALSE)</f>
        <v>4300</v>
      </c>
      <c r="O200" s="4">
        <f>VLOOKUP(G200,全部!C:X,22,FALSE)</f>
        <v>0</v>
      </c>
      <c r="P200" s="4">
        <f>VLOOKUP(G200,全部!C:Y,23,FALSE)</f>
        <v>0</v>
      </c>
      <c r="Q200" s="6">
        <f>VLOOKUP(G200,全部!C:Z,24,FALSE)</f>
        <v>4300</v>
      </c>
      <c r="R200" s="7">
        <f>VLOOKUP(G200,全部!C:AA,25,FALSE)</f>
        <v>0</v>
      </c>
      <c r="S200" s="7">
        <f>VLOOKUP(G200,全部!C:AB,26,FALSE)</f>
        <v>0</v>
      </c>
      <c r="T200" s="4">
        <f>VLOOKUP(计算!G200,全部!C:AC,27,FALSE)</f>
        <v>0</v>
      </c>
      <c r="U200" s="4">
        <f>VLOOKUP(G200,全部!C:AD,28,FALSE)</f>
        <v>0</v>
      </c>
      <c r="V200" s="6">
        <f>VLOOKUP(G200,全部!C:AE,29,FALSE)</f>
        <v>0</v>
      </c>
      <c r="W200" s="4">
        <f>VLOOKUP(G200,全部!C:AF,30,FALSE)</f>
        <v>0</v>
      </c>
      <c r="X200" s="4">
        <f>VLOOKUP(G200,全部!C:AG,31,FALSE)</f>
        <v>0</v>
      </c>
      <c r="Y200" s="4">
        <f>VLOOKUP(计算!G200,全部!C:AH,32,FALSE)</f>
        <v>0</v>
      </c>
      <c r="Z200" s="4">
        <f>VLOOKUP(G200,全部!C:AL,36,FALSE)</f>
        <v>0</v>
      </c>
      <c r="AA200" s="4">
        <f>VLOOKUP(G200,全部!C:AM,37,FALSE)</f>
        <v>3.4000000000000002E-2</v>
      </c>
      <c r="AB200" s="6">
        <f>VLOOKUP(G200,全部!C:AN,38,FALSE)</f>
        <v>1700.0000000000002</v>
      </c>
      <c r="AC200" s="4">
        <f>VLOOKUP(G200,全部!C:AO,39,FALSE)</f>
        <v>0</v>
      </c>
      <c r="AD200" s="4">
        <f>VLOOKUP(G200,全部!C:AP,40,FALSE)</f>
        <v>0</v>
      </c>
      <c r="AE200" s="6">
        <f>VLOOKUP(G200,全部!C:AQ,41,FALSE)</f>
        <v>1700.0000000000002</v>
      </c>
      <c r="AF200" s="4">
        <f>VLOOKUP(G200,全部!C:AR,42,FALSE)</f>
        <v>0</v>
      </c>
      <c r="AG200" s="7">
        <f>VLOOKUP(G200,全部!C:AS,43,FALSE)</f>
        <v>0</v>
      </c>
      <c r="AH200" s="64" t="str">
        <f>IF(VLOOKUP(G200,全部!C:AT,44,FALSE)=0,"",VLOOKUP(G200,全部!C:AT,44,FALSE))</f>
        <v/>
      </c>
      <c r="AI200">
        <v>0</v>
      </c>
      <c r="AJ200" s="3">
        <v>41912.6862384259</v>
      </c>
      <c r="AK200" s="2" t="s">
        <v>1729</v>
      </c>
    </row>
    <row r="201" spans="1:37" x14ac:dyDescent="0.15">
      <c r="A201" s="2" t="s">
        <v>1728</v>
      </c>
      <c r="B201">
        <v>258</v>
      </c>
      <c r="C201" s="3">
        <v>41821</v>
      </c>
      <c r="D201" s="2" t="s">
        <v>37</v>
      </c>
      <c r="E201" s="2" t="s">
        <v>1727</v>
      </c>
      <c r="F201" s="2" t="s">
        <v>41</v>
      </c>
      <c r="G201" s="2" t="s">
        <v>451</v>
      </c>
      <c r="H201" s="2" t="s">
        <v>452</v>
      </c>
      <c r="I201" s="4">
        <f>VLOOKUP(G201,全部!C:M,11,FALSE)</f>
        <v>9995935.1099999994</v>
      </c>
      <c r="J201" s="4">
        <f t="shared" si="3"/>
        <v>0</v>
      </c>
      <c r="K201" s="4">
        <f>VLOOKUP(计算!G201,全部!C:N,12,FALSE)</f>
        <v>0</v>
      </c>
      <c r="L201" s="5">
        <f>VLOOKUP(G201,全部!C:P,14,FALSE)</f>
        <v>0</v>
      </c>
      <c r="M201" s="5">
        <f>VLOOKUP(G201,全部!C:V,20,FALSE)*100</f>
        <v>3</v>
      </c>
      <c r="N201" s="6">
        <f>VLOOKUP(G201,全部!C:W,21,FALSE)</f>
        <v>299878.05329999997</v>
      </c>
      <c r="O201" s="4">
        <f>VLOOKUP(G201,全部!C:X,22,FALSE)</f>
        <v>11900</v>
      </c>
      <c r="P201" s="4">
        <f>VLOOKUP(G201,全部!C:Y,23,FALSE)</f>
        <v>11900</v>
      </c>
      <c r="Q201" s="6">
        <f>VLOOKUP(G201,全部!C:Z,24,FALSE)</f>
        <v>287978.05329999997</v>
      </c>
      <c r="R201" s="7">
        <f>VLOOKUP(G201,全部!C:AA,25,FALSE)</f>
        <v>0</v>
      </c>
      <c r="S201" s="7">
        <f>VLOOKUP(G201,全部!C:AB,26,FALSE)</f>
        <v>0</v>
      </c>
      <c r="T201" s="4">
        <f>VLOOKUP(计算!G201,全部!C:AC,27,FALSE)</f>
        <v>2798861.83</v>
      </c>
      <c r="U201" s="4">
        <f>VLOOKUP(G201,全部!C:AD,28,FALSE)</f>
        <v>2798861.83</v>
      </c>
      <c r="V201" s="6">
        <f>VLOOKUP(G201,全部!C:AE,29,FALSE)</f>
        <v>0.27999999991996749</v>
      </c>
      <c r="W201" s="4">
        <f>VLOOKUP(G201,全部!C:AF,30,FALSE)</f>
        <v>0</v>
      </c>
      <c r="X201" s="4">
        <f>VLOOKUP(G201,全部!C:AG,31,FALSE)</f>
        <v>0</v>
      </c>
      <c r="Y201" s="4">
        <f>VLOOKUP(计算!G201,全部!C:AH,32,FALSE)</f>
        <v>1627060.22</v>
      </c>
      <c r="Z201" s="4">
        <f>VLOOKUP(G201,全部!C:AL,36,FALSE)</f>
        <v>1627060.22</v>
      </c>
      <c r="AA201" s="4">
        <f>VLOOKUP(G201,全部!C:AM,37,FALSE)</f>
        <v>0</v>
      </c>
      <c r="AB201" s="6">
        <f>VLOOKUP(G201,全部!C:AN,38,FALSE)</f>
        <v>0</v>
      </c>
      <c r="AC201" s="4">
        <f>VLOOKUP(G201,全部!C:AO,39,FALSE)</f>
        <v>273808.63</v>
      </c>
      <c r="AD201" s="4">
        <f>VLOOKUP(G201,全部!C:AP,40,FALSE)</f>
        <v>273808.63</v>
      </c>
      <c r="AE201" s="6">
        <f>VLOOKUP(G201,全部!C:AQ,41,FALSE)</f>
        <v>0</v>
      </c>
      <c r="AF201" s="4">
        <f>VLOOKUP(G201,全部!C:AR,42,FALSE)</f>
        <v>0</v>
      </c>
      <c r="AG201" s="7">
        <f>VLOOKUP(G201,全部!C:AS,43,FALSE)</f>
        <v>0</v>
      </c>
      <c r="AH201" s="64" t="str">
        <f>IF(VLOOKUP(G201,全部!C:AT,44,FALSE)=0,"",VLOOKUP(G201,全部!C:AT,44,FALSE))</f>
        <v/>
      </c>
      <c r="AI201">
        <v>0</v>
      </c>
      <c r="AJ201" s="3">
        <v>41912.6862384259</v>
      </c>
      <c r="AK201" s="2" t="s">
        <v>1726</v>
      </c>
    </row>
    <row r="202" spans="1:37" x14ac:dyDescent="0.15">
      <c r="A202" s="2" t="s">
        <v>1725</v>
      </c>
      <c r="B202">
        <v>248</v>
      </c>
      <c r="C202" s="3">
        <v>41821</v>
      </c>
      <c r="D202" s="2" t="s">
        <v>37</v>
      </c>
      <c r="E202" s="2" t="s">
        <v>1724</v>
      </c>
      <c r="F202" s="2" t="s">
        <v>41</v>
      </c>
      <c r="G202" s="2" t="s">
        <v>447</v>
      </c>
      <c r="H202" s="2" t="s">
        <v>448</v>
      </c>
      <c r="I202" s="4">
        <f>VLOOKUP(G202,全部!C:M,11,FALSE)</f>
        <v>1250000</v>
      </c>
      <c r="J202" s="4">
        <f t="shared" si="3"/>
        <v>0</v>
      </c>
      <c r="K202" s="4">
        <f>VLOOKUP(计算!G202,全部!C:N,12,FALSE)</f>
        <v>0</v>
      </c>
      <c r="L202" s="5">
        <f>VLOOKUP(G202,全部!C:P,14,FALSE)</f>
        <v>0</v>
      </c>
      <c r="M202" s="5">
        <f>VLOOKUP(G202,全部!C:V,20,FALSE)*100</f>
        <v>8.6</v>
      </c>
      <c r="N202" s="6">
        <f>VLOOKUP(G202,全部!C:W,21,FALSE)</f>
        <v>107499.99999999999</v>
      </c>
      <c r="O202" s="4">
        <f>VLOOKUP(G202,全部!C:X,22,FALSE)</f>
        <v>51600</v>
      </c>
      <c r="P202" s="4">
        <f>VLOOKUP(G202,全部!C:Y,23,FALSE)</f>
        <v>51600</v>
      </c>
      <c r="Q202" s="6">
        <f>VLOOKUP(G202,全部!C:Z,24,FALSE)</f>
        <v>55899.999999999985</v>
      </c>
      <c r="R202" s="7">
        <f>VLOOKUP(G202,全部!C:AA,25,FALSE)</f>
        <v>0</v>
      </c>
      <c r="S202" s="7">
        <f>VLOOKUP(G202,全部!C:AB,26,FALSE)</f>
        <v>0</v>
      </c>
      <c r="T202" s="4">
        <f>VLOOKUP(计算!G202,全部!C:AC,27,FALSE)</f>
        <v>600000</v>
      </c>
      <c r="U202" s="4">
        <f>VLOOKUP(G202,全部!C:AD,28,FALSE)</f>
        <v>600000</v>
      </c>
      <c r="V202" s="6">
        <f>VLOOKUP(G202,全部!C:AE,29,FALSE)</f>
        <v>0.48</v>
      </c>
      <c r="W202" s="4">
        <f>VLOOKUP(G202,全部!C:AF,30,FALSE)</f>
        <v>0</v>
      </c>
      <c r="X202" s="4">
        <f>VLOOKUP(G202,全部!C:AG,31,FALSE)</f>
        <v>0</v>
      </c>
      <c r="Y202" s="4">
        <f>VLOOKUP(计算!G202,全部!C:AH,32,FALSE)</f>
        <v>600000</v>
      </c>
      <c r="Z202" s="4">
        <f>VLOOKUP(G202,全部!C:AL,36,FALSE)</f>
        <v>600000</v>
      </c>
      <c r="AA202" s="4">
        <f>VLOOKUP(G202,全部!C:AM,37,FALSE)</f>
        <v>3.4000000000000002E-2</v>
      </c>
      <c r="AB202" s="6">
        <f>VLOOKUP(G202,全部!C:AN,38,FALSE)</f>
        <v>42500</v>
      </c>
      <c r="AC202" s="4">
        <f>VLOOKUP(G202,全部!C:AO,39,FALSE)</f>
        <v>0</v>
      </c>
      <c r="AD202" s="4">
        <f>VLOOKUP(G202,全部!C:AP,40,FALSE)</f>
        <v>0</v>
      </c>
      <c r="AE202" s="6">
        <f>VLOOKUP(G202,全部!C:AQ,41,FALSE)</f>
        <v>42500</v>
      </c>
      <c r="AF202" s="4">
        <f>VLOOKUP(G202,全部!C:AR,42,FALSE)</f>
        <v>0</v>
      </c>
      <c r="AG202" s="7">
        <f>VLOOKUP(G202,全部!C:AS,43,FALSE)</f>
        <v>0</v>
      </c>
      <c r="AH202" s="64" t="str">
        <f>IF(VLOOKUP(G202,全部!C:AT,44,FALSE)=0,"",VLOOKUP(G202,全部!C:AT,44,FALSE))</f>
        <v/>
      </c>
      <c r="AI202">
        <v>0</v>
      </c>
      <c r="AJ202" s="3">
        <v>41912.6862384259</v>
      </c>
      <c r="AK202" s="2" t="s">
        <v>1723</v>
      </c>
    </row>
    <row r="203" spans="1:37" x14ac:dyDescent="0.15">
      <c r="A203" s="2" t="s">
        <v>1722</v>
      </c>
      <c r="B203">
        <v>267</v>
      </c>
      <c r="C203" s="3">
        <v>41821</v>
      </c>
      <c r="D203" s="2" t="s">
        <v>37</v>
      </c>
      <c r="E203" s="2" t="s">
        <v>1721</v>
      </c>
      <c r="F203" s="2" t="s">
        <v>41</v>
      </c>
      <c r="G203" s="2" t="s">
        <v>453</v>
      </c>
      <c r="H203" s="2" t="s">
        <v>454</v>
      </c>
      <c r="I203" s="4">
        <f>VLOOKUP(G203,全部!C:M,11,FALSE)</f>
        <v>50000</v>
      </c>
      <c r="J203" s="4">
        <f t="shared" si="3"/>
        <v>0</v>
      </c>
      <c r="K203" s="4">
        <f>VLOOKUP(计算!G203,全部!C:N,12,FALSE)</f>
        <v>0</v>
      </c>
      <c r="L203" s="5">
        <f>VLOOKUP(G203,全部!C:P,14,FALSE)</f>
        <v>0</v>
      </c>
      <c r="M203" s="5">
        <f>VLOOKUP(G203,全部!C:V,20,FALSE)*100</f>
        <v>8.6</v>
      </c>
      <c r="N203" s="6">
        <f>VLOOKUP(G203,全部!C:W,21,FALSE)</f>
        <v>4300</v>
      </c>
      <c r="O203" s="4">
        <f>VLOOKUP(G203,全部!C:X,22,FALSE)</f>
        <v>0</v>
      </c>
      <c r="P203" s="4">
        <f>VLOOKUP(G203,全部!C:Y,23,FALSE)</f>
        <v>0</v>
      </c>
      <c r="Q203" s="6">
        <f>VLOOKUP(G203,全部!C:Z,24,FALSE)</f>
        <v>4300</v>
      </c>
      <c r="R203" s="7">
        <f>VLOOKUP(G203,全部!C:AA,25,FALSE)</f>
        <v>0</v>
      </c>
      <c r="S203" s="7">
        <f>VLOOKUP(G203,全部!C:AB,26,FALSE)</f>
        <v>0</v>
      </c>
      <c r="T203" s="4">
        <f>VLOOKUP(计算!G203,全部!C:AC,27,FALSE)</f>
        <v>0</v>
      </c>
      <c r="U203" s="4">
        <f>VLOOKUP(G203,全部!C:AD,28,FALSE)</f>
        <v>0</v>
      </c>
      <c r="V203" s="6">
        <f>VLOOKUP(G203,全部!C:AE,29,FALSE)</f>
        <v>0</v>
      </c>
      <c r="W203" s="4">
        <f>VLOOKUP(G203,全部!C:AF,30,FALSE)</f>
        <v>0</v>
      </c>
      <c r="X203" s="4">
        <f>VLOOKUP(G203,全部!C:AG,31,FALSE)</f>
        <v>0</v>
      </c>
      <c r="Y203" s="4">
        <f>VLOOKUP(计算!G203,全部!C:AH,32,FALSE)</f>
        <v>0</v>
      </c>
      <c r="Z203" s="4">
        <f>VLOOKUP(G203,全部!C:AL,36,FALSE)</f>
        <v>0</v>
      </c>
      <c r="AA203" s="4">
        <f>VLOOKUP(G203,全部!C:AM,37,FALSE)</f>
        <v>3.4000000000000002E-2</v>
      </c>
      <c r="AB203" s="6">
        <f>VLOOKUP(G203,全部!C:AN,38,FALSE)</f>
        <v>1700.0000000000002</v>
      </c>
      <c r="AC203" s="4">
        <f>VLOOKUP(G203,全部!C:AO,39,FALSE)</f>
        <v>0</v>
      </c>
      <c r="AD203" s="4">
        <f>VLOOKUP(G203,全部!C:AP,40,FALSE)</f>
        <v>0</v>
      </c>
      <c r="AE203" s="6">
        <f>VLOOKUP(G203,全部!C:AQ,41,FALSE)</f>
        <v>1700.0000000000002</v>
      </c>
      <c r="AF203" s="4">
        <f>VLOOKUP(G203,全部!C:AR,42,FALSE)</f>
        <v>0</v>
      </c>
      <c r="AG203" s="7">
        <f>VLOOKUP(G203,全部!C:AS,43,FALSE)</f>
        <v>0</v>
      </c>
      <c r="AH203" s="64" t="str">
        <f>IF(VLOOKUP(G203,全部!C:AT,44,FALSE)=0,"",VLOOKUP(G203,全部!C:AT,44,FALSE))</f>
        <v/>
      </c>
      <c r="AI203">
        <v>0</v>
      </c>
      <c r="AJ203" s="3">
        <v>41912.686249999999</v>
      </c>
      <c r="AK203" s="2" t="s">
        <v>1720</v>
      </c>
    </row>
    <row r="204" spans="1:37" x14ac:dyDescent="0.15">
      <c r="A204" s="2" t="s">
        <v>1719</v>
      </c>
      <c r="B204">
        <v>276</v>
      </c>
      <c r="C204" s="3">
        <v>41821</v>
      </c>
      <c r="D204" s="2" t="s">
        <v>37</v>
      </c>
      <c r="E204" s="2" t="s">
        <v>1718</v>
      </c>
      <c r="F204" s="2" t="s">
        <v>41</v>
      </c>
      <c r="G204" s="2" t="s">
        <v>455</v>
      </c>
      <c r="H204" s="2" t="s">
        <v>456</v>
      </c>
      <c r="I204" s="4">
        <f>VLOOKUP(G204,全部!C:M,11,FALSE)</f>
        <v>48000</v>
      </c>
      <c r="J204" s="4">
        <f t="shared" si="3"/>
        <v>0</v>
      </c>
      <c r="K204" s="4">
        <f>VLOOKUP(计算!G204,全部!C:N,12,FALSE)</f>
        <v>0</v>
      </c>
      <c r="L204" s="5">
        <f>VLOOKUP(G204,全部!C:P,14,FALSE)</f>
        <v>0</v>
      </c>
      <c r="M204" s="5">
        <f>VLOOKUP(G204,全部!C:V,20,FALSE)*100</f>
        <v>8.6</v>
      </c>
      <c r="N204" s="6">
        <f>VLOOKUP(G204,全部!C:W,21,FALSE)</f>
        <v>4128</v>
      </c>
      <c r="O204" s="4">
        <f>VLOOKUP(G204,全部!C:X,22,FALSE)</f>
        <v>0</v>
      </c>
      <c r="P204" s="4">
        <f>VLOOKUP(G204,全部!C:Y,23,FALSE)</f>
        <v>0</v>
      </c>
      <c r="Q204" s="6">
        <f>VLOOKUP(G204,全部!C:Z,24,FALSE)</f>
        <v>4128</v>
      </c>
      <c r="R204" s="7">
        <f>VLOOKUP(G204,全部!C:AA,25,FALSE)</f>
        <v>0</v>
      </c>
      <c r="S204" s="7">
        <f>VLOOKUP(G204,全部!C:AB,26,FALSE)</f>
        <v>0</v>
      </c>
      <c r="T204" s="4">
        <f>VLOOKUP(计算!G204,全部!C:AC,27,FALSE)</f>
        <v>0</v>
      </c>
      <c r="U204" s="4">
        <f>VLOOKUP(G204,全部!C:AD,28,FALSE)</f>
        <v>0</v>
      </c>
      <c r="V204" s="6">
        <f>VLOOKUP(G204,全部!C:AE,29,FALSE)</f>
        <v>0</v>
      </c>
      <c r="W204" s="4">
        <f>VLOOKUP(G204,全部!C:AF,30,FALSE)</f>
        <v>0</v>
      </c>
      <c r="X204" s="4">
        <f>VLOOKUP(G204,全部!C:AG,31,FALSE)</f>
        <v>0</v>
      </c>
      <c r="Y204" s="4">
        <f>VLOOKUP(计算!G204,全部!C:AH,32,FALSE)</f>
        <v>0</v>
      </c>
      <c r="Z204" s="4">
        <f>VLOOKUP(G204,全部!C:AL,36,FALSE)</f>
        <v>0</v>
      </c>
      <c r="AA204" s="4">
        <f>VLOOKUP(G204,全部!C:AM,37,FALSE)</f>
        <v>3.4000000000000002E-2</v>
      </c>
      <c r="AB204" s="6">
        <f>VLOOKUP(G204,全部!C:AN,38,FALSE)</f>
        <v>1632.0000000000002</v>
      </c>
      <c r="AC204" s="4">
        <f>VLOOKUP(G204,全部!C:AO,39,FALSE)</f>
        <v>0</v>
      </c>
      <c r="AD204" s="4">
        <f>VLOOKUP(G204,全部!C:AP,40,FALSE)</f>
        <v>0</v>
      </c>
      <c r="AE204" s="6">
        <f>VLOOKUP(G204,全部!C:AQ,41,FALSE)</f>
        <v>1632.0000000000002</v>
      </c>
      <c r="AF204" s="4">
        <f>VLOOKUP(G204,全部!C:AR,42,FALSE)</f>
        <v>0</v>
      </c>
      <c r="AG204" s="7">
        <f>VLOOKUP(G204,全部!C:AS,43,FALSE)</f>
        <v>0</v>
      </c>
      <c r="AH204" s="64" t="str">
        <f>IF(VLOOKUP(G204,全部!C:AT,44,FALSE)=0,"",VLOOKUP(G204,全部!C:AT,44,FALSE))</f>
        <v/>
      </c>
      <c r="AI204">
        <v>0</v>
      </c>
      <c r="AJ204" s="3">
        <v>41912.686249999999</v>
      </c>
      <c r="AK204" s="2" t="s">
        <v>1717</v>
      </c>
    </row>
    <row r="205" spans="1:37" x14ac:dyDescent="0.15">
      <c r="A205" s="2" t="s">
        <v>1716</v>
      </c>
      <c r="B205">
        <v>287</v>
      </c>
      <c r="C205" s="3">
        <v>41821</v>
      </c>
      <c r="D205" s="2" t="s">
        <v>37</v>
      </c>
      <c r="E205" s="2" t="s">
        <v>1715</v>
      </c>
      <c r="F205" s="2" t="s">
        <v>41</v>
      </c>
      <c r="G205" s="2" t="s">
        <v>391</v>
      </c>
      <c r="H205" s="2" t="s">
        <v>392</v>
      </c>
      <c r="I205" s="4">
        <f>VLOOKUP(G205,全部!C:M,11,FALSE)</f>
        <v>50000</v>
      </c>
      <c r="J205" s="4">
        <f t="shared" si="3"/>
        <v>0</v>
      </c>
      <c r="K205" s="4">
        <f>VLOOKUP(计算!G205,全部!C:N,12,FALSE)</f>
        <v>0</v>
      </c>
      <c r="L205" s="5">
        <f>VLOOKUP(G205,全部!C:P,14,FALSE)</f>
        <v>0</v>
      </c>
      <c r="M205" s="5">
        <f>VLOOKUP(G205,全部!C:V,20,FALSE)*100</f>
        <v>8.6</v>
      </c>
      <c r="N205" s="6">
        <f>VLOOKUP(G205,全部!C:W,21,FALSE)</f>
        <v>4300</v>
      </c>
      <c r="O205" s="4">
        <f>VLOOKUP(G205,全部!C:X,22,FALSE)</f>
        <v>0</v>
      </c>
      <c r="P205" s="4">
        <f>VLOOKUP(G205,全部!C:Y,23,FALSE)</f>
        <v>0</v>
      </c>
      <c r="Q205" s="6">
        <f>VLOOKUP(G205,全部!C:Z,24,FALSE)</f>
        <v>4300</v>
      </c>
      <c r="R205" s="7">
        <f>VLOOKUP(G205,全部!C:AA,25,FALSE)</f>
        <v>0</v>
      </c>
      <c r="S205" s="7">
        <f>VLOOKUP(G205,全部!C:AB,26,FALSE)</f>
        <v>0</v>
      </c>
      <c r="T205" s="4">
        <f>VLOOKUP(计算!G205,全部!C:AC,27,FALSE)</f>
        <v>0</v>
      </c>
      <c r="U205" s="4">
        <f>VLOOKUP(G205,全部!C:AD,28,FALSE)</f>
        <v>0</v>
      </c>
      <c r="V205" s="6">
        <f>VLOOKUP(G205,全部!C:AE,29,FALSE)</f>
        <v>0</v>
      </c>
      <c r="W205" s="4">
        <f>VLOOKUP(G205,全部!C:AF,30,FALSE)</f>
        <v>0</v>
      </c>
      <c r="X205" s="4">
        <f>VLOOKUP(G205,全部!C:AG,31,FALSE)</f>
        <v>0</v>
      </c>
      <c r="Y205" s="4">
        <f>VLOOKUP(计算!G205,全部!C:AH,32,FALSE)</f>
        <v>0</v>
      </c>
      <c r="Z205" s="4">
        <f>VLOOKUP(G205,全部!C:AL,36,FALSE)</f>
        <v>0</v>
      </c>
      <c r="AA205" s="4">
        <f>VLOOKUP(G205,全部!C:AM,37,FALSE)</f>
        <v>3.4000000000000002E-2</v>
      </c>
      <c r="AB205" s="6">
        <f>VLOOKUP(G205,全部!C:AN,38,FALSE)</f>
        <v>1700.0000000000002</v>
      </c>
      <c r="AC205" s="4">
        <f>VLOOKUP(G205,全部!C:AO,39,FALSE)</f>
        <v>0</v>
      </c>
      <c r="AD205" s="4">
        <f>VLOOKUP(G205,全部!C:AP,40,FALSE)</f>
        <v>0</v>
      </c>
      <c r="AE205" s="6">
        <f>VLOOKUP(G205,全部!C:AQ,41,FALSE)</f>
        <v>1700.0000000000002</v>
      </c>
      <c r="AF205" s="4">
        <f>VLOOKUP(G205,全部!C:AR,42,FALSE)</f>
        <v>0</v>
      </c>
      <c r="AG205" s="7">
        <f>VLOOKUP(G205,全部!C:AS,43,FALSE)</f>
        <v>0</v>
      </c>
      <c r="AH205" s="64" t="str">
        <f>IF(VLOOKUP(G205,全部!C:AT,44,FALSE)=0,"",VLOOKUP(G205,全部!C:AT,44,FALSE))</f>
        <v/>
      </c>
      <c r="AI205">
        <v>0</v>
      </c>
      <c r="AJ205" s="3">
        <v>41912.686249999999</v>
      </c>
      <c r="AK205" s="2" t="s">
        <v>1714</v>
      </c>
    </row>
    <row r="206" spans="1:37" x14ac:dyDescent="0.15">
      <c r="A206" s="2" t="s">
        <v>1713</v>
      </c>
      <c r="B206">
        <v>281</v>
      </c>
      <c r="C206" s="3">
        <v>41821</v>
      </c>
      <c r="D206" s="2" t="s">
        <v>37</v>
      </c>
      <c r="E206" s="2" t="s">
        <v>1712</v>
      </c>
      <c r="F206" s="2" t="s">
        <v>41</v>
      </c>
      <c r="G206" s="2" t="s">
        <v>457</v>
      </c>
      <c r="H206" s="2" t="s">
        <v>458</v>
      </c>
      <c r="I206" s="4">
        <f>VLOOKUP(G206,全部!C:M,11,FALSE)</f>
        <v>50000</v>
      </c>
      <c r="J206" s="4">
        <f t="shared" si="3"/>
        <v>0</v>
      </c>
      <c r="K206" s="4">
        <f>VLOOKUP(计算!G206,全部!C:N,12,FALSE)</f>
        <v>0</v>
      </c>
      <c r="L206" s="5">
        <f>VLOOKUP(G206,全部!C:P,14,FALSE)</f>
        <v>0</v>
      </c>
      <c r="M206" s="5">
        <f>VLOOKUP(G206,全部!C:V,20,FALSE)*100</f>
        <v>8.6</v>
      </c>
      <c r="N206" s="6">
        <f>VLOOKUP(G206,全部!C:W,21,FALSE)</f>
        <v>4300</v>
      </c>
      <c r="O206" s="4">
        <f>VLOOKUP(G206,全部!C:X,22,FALSE)</f>
        <v>0</v>
      </c>
      <c r="P206" s="4">
        <f>VLOOKUP(G206,全部!C:Y,23,FALSE)</f>
        <v>0</v>
      </c>
      <c r="Q206" s="6">
        <f>VLOOKUP(G206,全部!C:Z,24,FALSE)</f>
        <v>4300</v>
      </c>
      <c r="R206" s="7">
        <f>VLOOKUP(G206,全部!C:AA,25,FALSE)</f>
        <v>0</v>
      </c>
      <c r="S206" s="7">
        <f>VLOOKUP(G206,全部!C:AB,26,FALSE)</f>
        <v>0</v>
      </c>
      <c r="T206" s="4">
        <f>VLOOKUP(计算!G206,全部!C:AC,27,FALSE)</f>
        <v>0</v>
      </c>
      <c r="U206" s="4">
        <f>VLOOKUP(G206,全部!C:AD,28,FALSE)</f>
        <v>0</v>
      </c>
      <c r="V206" s="6">
        <f>VLOOKUP(G206,全部!C:AE,29,FALSE)</f>
        <v>0</v>
      </c>
      <c r="W206" s="4">
        <f>VLOOKUP(G206,全部!C:AF,30,FALSE)</f>
        <v>0</v>
      </c>
      <c r="X206" s="4">
        <f>VLOOKUP(G206,全部!C:AG,31,FALSE)</f>
        <v>0</v>
      </c>
      <c r="Y206" s="4">
        <f>VLOOKUP(计算!G206,全部!C:AH,32,FALSE)</f>
        <v>0</v>
      </c>
      <c r="Z206" s="4">
        <f>VLOOKUP(G206,全部!C:AL,36,FALSE)</f>
        <v>0</v>
      </c>
      <c r="AA206" s="4">
        <f>VLOOKUP(G206,全部!C:AM,37,FALSE)</f>
        <v>3.4000000000000002E-2</v>
      </c>
      <c r="AB206" s="6">
        <f>VLOOKUP(G206,全部!C:AN,38,FALSE)</f>
        <v>1700.0000000000002</v>
      </c>
      <c r="AC206" s="4">
        <f>VLOOKUP(G206,全部!C:AO,39,FALSE)</f>
        <v>0</v>
      </c>
      <c r="AD206" s="4">
        <f>VLOOKUP(G206,全部!C:AP,40,FALSE)</f>
        <v>0</v>
      </c>
      <c r="AE206" s="6">
        <f>VLOOKUP(G206,全部!C:AQ,41,FALSE)</f>
        <v>1700.0000000000002</v>
      </c>
      <c r="AF206" s="4">
        <f>VLOOKUP(G206,全部!C:AR,42,FALSE)</f>
        <v>0</v>
      </c>
      <c r="AG206" s="7">
        <f>VLOOKUP(G206,全部!C:AS,43,FALSE)</f>
        <v>0</v>
      </c>
      <c r="AH206" s="64" t="str">
        <f>IF(VLOOKUP(G206,全部!C:AT,44,FALSE)=0,"",VLOOKUP(G206,全部!C:AT,44,FALSE))</f>
        <v/>
      </c>
      <c r="AI206">
        <v>0</v>
      </c>
      <c r="AJ206" s="3">
        <v>41912.686249999999</v>
      </c>
      <c r="AK206" s="2" t="s">
        <v>1711</v>
      </c>
    </row>
    <row r="207" spans="1:37" x14ac:dyDescent="0.15">
      <c r="A207" s="2" t="s">
        <v>1710</v>
      </c>
      <c r="B207">
        <v>294</v>
      </c>
      <c r="C207" s="3">
        <v>41821</v>
      </c>
      <c r="D207" s="2" t="s">
        <v>37</v>
      </c>
      <c r="E207" s="2" t="s">
        <v>1709</v>
      </c>
      <c r="F207" s="2" t="s">
        <v>41</v>
      </c>
      <c r="G207" s="2" t="s">
        <v>395</v>
      </c>
      <c r="H207" s="2" t="s">
        <v>396</v>
      </c>
      <c r="I207" s="4">
        <f>VLOOKUP(G207,全部!C:M,11,FALSE)</f>
        <v>304724.28999999998</v>
      </c>
      <c r="J207" s="4">
        <f t="shared" si="3"/>
        <v>0</v>
      </c>
      <c r="K207" s="4">
        <f>VLOOKUP(计算!G207,全部!C:N,12,FALSE)</f>
        <v>0</v>
      </c>
      <c r="L207" s="5">
        <f>VLOOKUP(G207,全部!C:P,14,FALSE)</f>
        <v>0</v>
      </c>
      <c r="M207" s="5">
        <f>VLOOKUP(G207,全部!C:V,20,FALSE)*100</f>
        <v>3.5999999999999996</v>
      </c>
      <c r="N207" s="6">
        <f>VLOOKUP(G207,全部!C:W,21,FALSE)</f>
        <v>10970.074439999999</v>
      </c>
      <c r="O207" s="4">
        <f>VLOOKUP(G207,全部!C:X,22,FALSE)</f>
        <v>0</v>
      </c>
      <c r="P207" s="4">
        <f>VLOOKUP(G207,全部!C:Y,23,FALSE)</f>
        <v>0</v>
      </c>
      <c r="Q207" s="6">
        <f>VLOOKUP(G207,全部!C:Z,24,FALSE)</f>
        <v>10970.074439999999</v>
      </c>
      <c r="R207" s="7">
        <f>VLOOKUP(G207,全部!C:AA,25,FALSE)</f>
        <v>0</v>
      </c>
      <c r="S207" s="7">
        <f>VLOOKUP(G207,全部!C:AB,26,FALSE)</f>
        <v>0</v>
      </c>
      <c r="T207" s="4">
        <f>VLOOKUP(计算!G207,全部!C:AC,27,FALSE)</f>
        <v>2073</v>
      </c>
      <c r="U207" s="4">
        <f>VLOOKUP(G207,全部!C:AD,28,FALSE)</f>
        <v>2073</v>
      </c>
      <c r="V207" s="6">
        <f>VLOOKUP(G207,全部!C:AE,29,FALSE)</f>
        <v>6.8028708837093365E-3</v>
      </c>
      <c r="W207" s="4">
        <f>VLOOKUP(G207,全部!C:AF,30,FALSE)</f>
        <v>0</v>
      </c>
      <c r="X207" s="4">
        <f>VLOOKUP(G207,全部!C:AG,31,FALSE)</f>
        <v>0</v>
      </c>
      <c r="Y207" s="4">
        <f>VLOOKUP(计算!G207,全部!C:AH,32,FALSE)</f>
        <v>0</v>
      </c>
      <c r="Z207" s="4">
        <f>VLOOKUP(G207,全部!C:AL,36,FALSE)</f>
        <v>0</v>
      </c>
      <c r="AA207" s="4">
        <f>VLOOKUP(G207,全部!C:AM,37,FALSE)</f>
        <v>3.4000000000000002E-2</v>
      </c>
      <c r="AB207" s="6">
        <f>VLOOKUP(G207,全部!C:AN,38,FALSE)</f>
        <v>10360.62586</v>
      </c>
      <c r="AC207" s="4">
        <f>VLOOKUP(G207,全部!C:AO,39,FALSE)</f>
        <v>2073</v>
      </c>
      <c r="AD207" s="4">
        <f>VLOOKUP(G207,全部!C:AP,40,FALSE)</f>
        <v>2073</v>
      </c>
      <c r="AE207" s="6">
        <f>VLOOKUP(G207,全部!C:AQ,41,FALSE)</f>
        <v>8287.6258600000001</v>
      </c>
      <c r="AF207" s="4">
        <f>VLOOKUP(G207,全部!C:AR,42,FALSE)</f>
        <v>0</v>
      </c>
      <c r="AG207" s="7">
        <f>VLOOKUP(G207,全部!C:AS,43,FALSE)</f>
        <v>0</v>
      </c>
      <c r="AH207" s="64" t="str">
        <f>IF(VLOOKUP(G207,全部!C:AT,44,FALSE)=0,"",VLOOKUP(G207,全部!C:AT,44,FALSE))</f>
        <v/>
      </c>
      <c r="AI207">
        <v>0</v>
      </c>
      <c r="AJ207" s="3">
        <v>41912.686249999999</v>
      </c>
      <c r="AK207" s="2" t="s">
        <v>1708</v>
      </c>
    </row>
    <row r="208" spans="1:37" x14ac:dyDescent="0.15">
      <c r="A208" s="2" t="s">
        <v>1707</v>
      </c>
      <c r="B208">
        <v>299</v>
      </c>
      <c r="C208" s="3">
        <v>41821</v>
      </c>
      <c r="D208" s="2" t="s">
        <v>37</v>
      </c>
      <c r="E208" s="2" t="s">
        <v>1706</v>
      </c>
      <c r="F208" s="2" t="s">
        <v>41</v>
      </c>
      <c r="G208" s="2" t="s">
        <v>393</v>
      </c>
      <c r="H208" s="2" t="s">
        <v>394</v>
      </c>
      <c r="I208" s="4">
        <f>VLOOKUP(G208,全部!C:M,11,FALSE)</f>
        <v>8649410.8000000007</v>
      </c>
      <c r="J208" s="4">
        <f t="shared" si="3"/>
        <v>0</v>
      </c>
      <c r="K208" s="4">
        <f>VLOOKUP(计算!G208,全部!C:N,12,FALSE)</f>
        <v>0</v>
      </c>
      <c r="L208" s="5">
        <f>VLOOKUP(G208,全部!C:P,14,FALSE)</f>
        <v>0</v>
      </c>
      <c r="M208" s="5">
        <f>VLOOKUP(G208,全部!C:V,20,FALSE)*100</f>
        <v>3</v>
      </c>
      <c r="N208" s="6">
        <f>VLOOKUP(G208,全部!C:W,21,FALSE)</f>
        <v>259482.32400000002</v>
      </c>
      <c r="O208" s="4">
        <f>VLOOKUP(G208,全部!C:X,22,FALSE)</f>
        <v>0</v>
      </c>
      <c r="P208" s="4">
        <f>VLOOKUP(G208,全部!C:Y,23,FALSE)</f>
        <v>0</v>
      </c>
      <c r="Q208" s="6">
        <f>VLOOKUP(G208,全部!C:Z,24,FALSE)</f>
        <v>259482.32400000002</v>
      </c>
      <c r="R208" s="7">
        <f>VLOOKUP(G208,全部!C:AA,25,FALSE)</f>
        <v>0</v>
      </c>
      <c r="S208" s="7">
        <f>VLOOKUP(G208,全部!C:AB,26,FALSE)</f>
        <v>0</v>
      </c>
      <c r="T208" s="4">
        <f>VLOOKUP(计算!G208,全部!C:AC,27,FALSE)</f>
        <v>7657.4</v>
      </c>
      <c r="U208" s="4">
        <f>VLOOKUP(G208,全部!C:AD,28,FALSE)</f>
        <v>7657.4</v>
      </c>
      <c r="V208" s="6">
        <f>VLOOKUP(G208,全部!C:AE,29,FALSE)</f>
        <v>8.8530885826350152E-4</v>
      </c>
      <c r="W208" s="4">
        <f>VLOOKUP(G208,全部!C:AF,30,FALSE)</f>
        <v>0</v>
      </c>
      <c r="X208" s="4">
        <f>VLOOKUP(G208,全部!C:AG,31,FALSE)</f>
        <v>0</v>
      </c>
      <c r="Y208" s="4">
        <f>VLOOKUP(计算!G208,全部!C:AH,32,FALSE)</f>
        <v>439657.4</v>
      </c>
      <c r="Z208" s="4">
        <f>VLOOKUP(G208,全部!C:AL,36,FALSE)</f>
        <v>439657.4</v>
      </c>
      <c r="AA208" s="4">
        <f>VLOOKUP(G208,全部!C:AM,37,FALSE)</f>
        <v>3.4000000000000002E-2</v>
      </c>
      <c r="AB208" s="6">
        <f>VLOOKUP(G208,全部!C:AN,38,FALSE)</f>
        <v>294079.96720000007</v>
      </c>
      <c r="AC208" s="4">
        <f>VLOOKUP(G208,全部!C:AO,39,FALSE)</f>
        <v>0</v>
      </c>
      <c r="AD208" s="4">
        <f>VLOOKUP(G208,全部!C:AP,40,FALSE)</f>
        <v>0</v>
      </c>
      <c r="AE208" s="6">
        <f>VLOOKUP(G208,全部!C:AQ,41,FALSE)</f>
        <v>294079.96720000007</v>
      </c>
      <c r="AF208" s="4">
        <f>VLOOKUP(G208,全部!C:AR,42,FALSE)</f>
        <v>0</v>
      </c>
      <c r="AG208" s="7">
        <f>VLOOKUP(G208,全部!C:AS,43,FALSE)</f>
        <v>0</v>
      </c>
      <c r="AH208" s="64" t="str">
        <f>IF(VLOOKUP(G208,全部!C:AT,44,FALSE)=0,"",VLOOKUP(G208,全部!C:AT,44,FALSE))</f>
        <v/>
      </c>
      <c r="AI208">
        <v>0</v>
      </c>
      <c r="AJ208" s="3">
        <v>41912.686249999999</v>
      </c>
      <c r="AK208" s="2" t="s">
        <v>1705</v>
      </c>
    </row>
    <row r="209" spans="1:37" x14ac:dyDescent="0.15">
      <c r="A209" s="2" t="s">
        <v>1704</v>
      </c>
      <c r="B209">
        <v>1214</v>
      </c>
      <c r="C209" s="3">
        <v>41821</v>
      </c>
      <c r="D209" s="2" t="s">
        <v>37</v>
      </c>
      <c r="E209" s="2" t="s">
        <v>1703</v>
      </c>
      <c r="F209" s="2" t="s">
        <v>38</v>
      </c>
      <c r="G209" s="2" t="s">
        <v>441</v>
      </c>
      <c r="H209" s="2" t="s">
        <v>442</v>
      </c>
      <c r="I209" s="4">
        <f>VLOOKUP(G209,全部!C:M,11,FALSE)</f>
        <v>1679000</v>
      </c>
      <c r="J209" s="4">
        <f t="shared" si="3"/>
        <v>0</v>
      </c>
      <c r="K209" s="4">
        <f>VLOOKUP(计算!G209,全部!C:N,12,FALSE)</f>
        <v>0</v>
      </c>
      <c r="L209" s="5">
        <f>VLOOKUP(G209,全部!C:P,14,FALSE)</f>
        <v>0</v>
      </c>
      <c r="M209" s="5">
        <f>VLOOKUP(G209,全部!C:V,20,FALSE)*100</f>
        <v>3.5999999999999996</v>
      </c>
      <c r="N209" s="6">
        <f>VLOOKUP(G209,全部!C:W,21,FALSE)</f>
        <v>60443.999999999993</v>
      </c>
      <c r="O209" s="4">
        <f>VLOOKUP(G209,全部!C:X,22,FALSE)</f>
        <v>0</v>
      </c>
      <c r="P209" s="4">
        <f>VLOOKUP(G209,全部!C:Y,23,FALSE)</f>
        <v>0</v>
      </c>
      <c r="Q209" s="6">
        <f>VLOOKUP(G209,全部!C:Z,24,FALSE)</f>
        <v>60443.999999999993</v>
      </c>
      <c r="R209" s="7">
        <f>VLOOKUP(G209,全部!C:AA,25,FALSE)</f>
        <v>0</v>
      </c>
      <c r="S209" s="7">
        <f>VLOOKUP(G209,全部!C:AB,26,FALSE)</f>
        <v>0</v>
      </c>
      <c r="T209" s="4">
        <f>VLOOKUP(计算!G209,全部!C:AC,27,FALSE)</f>
        <v>0</v>
      </c>
      <c r="U209" s="4">
        <f>VLOOKUP(G209,全部!C:AD,28,FALSE)</f>
        <v>0</v>
      </c>
      <c r="V209" s="6">
        <f>VLOOKUP(G209,全部!C:AE,29,FALSE)</f>
        <v>0</v>
      </c>
      <c r="W209" s="4">
        <f>VLOOKUP(G209,全部!C:AF,30,FALSE)</f>
        <v>0</v>
      </c>
      <c r="X209" s="4">
        <f>VLOOKUP(G209,全部!C:AG,31,FALSE)</f>
        <v>0</v>
      </c>
      <c r="Y209" s="4">
        <f>VLOOKUP(计算!G209,全部!C:AH,32,FALSE)</f>
        <v>0</v>
      </c>
      <c r="Z209" s="4">
        <f>VLOOKUP(G209,全部!C:AL,36,FALSE)</f>
        <v>0</v>
      </c>
      <c r="AA209" s="4">
        <f>VLOOKUP(G209,全部!C:AM,37,FALSE)</f>
        <v>3.4000000000000002E-2</v>
      </c>
      <c r="AB209" s="6">
        <f>VLOOKUP(G209,全部!C:AN,38,FALSE)</f>
        <v>0</v>
      </c>
      <c r="AC209" s="4">
        <f>VLOOKUP(G209,全部!C:AO,39,FALSE)</f>
        <v>0</v>
      </c>
      <c r="AD209" s="4">
        <f>VLOOKUP(G209,全部!C:AP,40,FALSE)</f>
        <v>0</v>
      </c>
      <c r="AE209" s="6">
        <f>VLOOKUP(G209,全部!C:AQ,41,FALSE)</f>
        <v>0</v>
      </c>
      <c r="AF209" s="4">
        <f>VLOOKUP(G209,全部!C:AR,42,FALSE)</f>
        <v>0</v>
      </c>
      <c r="AG209" s="7">
        <f>VLOOKUP(G209,全部!C:AS,43,FALSE)</f>
        <v>19</v>
      </c>
      <c r="AH209" s="64" t="str">
        <f>IF(VLOOKUP(G209,全部!C:AT,44,FALSE)=0,"",VLOOKUP(G209,全部!C:AT,44,FALSE))</f>
        <v>亦庄</v>
      </c>
      <c r="AI209">
        <v>0</v>
      </c>
      <c r="AJ209" s="3">
        <v>41912.6862847222</v>
      </c>
      <c r="AK209" s="2" t="s">
        <v>1702</v>
      </c>
    </row>
    <row r="210" spans="1:37" x14ac:dyDescent="0.15">
      <c r="A210" s="2" t="s">
        <v>1701</v>
      </c>
      <c r="B210">
        <v>307</v>
      </c>
      <c r="C210" s="3">
        <v>41821</v>
      </c>
      <c r="D210" s="2" t="s">
        <v>37</v>
      </c>
      <c r="E210" s="2" t="s">
        <v>1700</v>
      </c>
      <c r="F210" s="2" t="s">
        <v>41</v>
      </c>
      <c r="G210" s="2" t="s">
        <v>399</v>
      </c>
      <c r="H210" s="2" t="s">
        <v>400</v>
      </c>
      <c r="I210" s="4">
        <f>VLOOKUP(G210,全部!C:M,11,FALSE)</f>
        <v>465000</v>
      </c>
      <c r="J210" s="4">
        <f t="shared" si="3"/>
        <v>0</v>
      </c>
      <c r="K210" s="4">
        <f>VLOOKUP(计算!G210,全部!C:N,12,FALSE)</f>
        <v>0</v>
      </c>
      <c r="L210" s="5">
        <f>VLOOKUP(G210,全部!C:P,14,FALSE)</f>
        <v>0</v>
      </c>
      <c r="M210" s="5">
        <f>VLOOKUP(G210,全部!C:V,20,FALSE)*100</f>
        <v>3.5999999999999996</v>
      </c>
      <c r="N210" s="6">
        <f>VLOOKUP(G210,全部!C:W,21,FALSE)</f>
        <v>16740</v>
      </c>
      <c r="O210" s="4">
        <f>VLOOKUP(G210,全部!C:X,22,FALSE)</f>
        <v>0</v>
      </c>
      <c r="P210" s="4">
        <f>VLOOKUP(G210,全部!C:Y,23,FALSE)</f>
        <v>0</v>
      </c>
      <c r="Q210" s="6">
        <f>VLOOKUP(G210,全部!C:Z,24,FALSE)</f>
        <v>16740</v>
      </c>
      <c r="R210" s="7">
        <f>VLOOKUP(G210,全部!C:AA,25,FALSE)</f>
        <v>0</v>
      </c>
      <c r="S210" s="7">
        <f>VLOOKUP(G210,全部!C:AB,26,FALSE)</f>
        <v>0</v>
      </c>
      <c r="T210" s="4">
        <f>VLOOKUP(计算!G210,全部!C:AC,27,FALSE)</f>
        <v>4743</v>
      </c>
      <c r="U210" s="4">
        <f>VLOOKUP(G210,全部!C:AD,28,FALSE)</f>
        <v>4743</v>
      </c>
      <c r="V210" s="6">
        <f>VLOOKUP(G210,全部!C:AE,29,FALSE)</f>
        <v>1.0200000000000001E-2</v>
      </c>
      <c r="W210" s="4">
        <f>VLOOKUP(G210,全部!C:AF,30,FALSE)</f>
        <v>0</v>
      </c>
      <c r="X210" s="4">
        <f>VLOOKUP(G210,全部!C:AG,31,FALSE)</f>
        <v>0</v>
      </c>
      <c r="Y210" s="4">
        <f>VLOOKUP(计算!G210,全部!C:AH,32,FALSE)</f>
        <v>0</v>
      </c>
      <c r="Z210" s="4">
        <f>VLOOKUP(G210,全部!C:AL,36,FALSE)</f>
        <v>0</v>
      </c>
      <c r="AA210" s="4">
        <f>VLOOKUP(G210,全部!C:AM,37,FALSE)</f>
        <v>3.4000000000000002E-2</v>
      </c>
      <c r="AB210" s="6">
        <f>VLOOKUP(G210,全部!C:AN,38,FALSE)</f>
        <v>15810.000000000002</v>
      </c>
      <c r="AC210" s="4">
        <f>VLOOKUP(G210,全部!C:AO,39,FALSE)</f>
        <v>4743</v>
      </c>
      <c r="AD210" s="4">
        <f>VLOOKUP(G210,全部!C:AP,40,FALSE)</f>
        <v>4743</v>
      </c>
      <c r="AE210" s="6">
        <f>VLOOKUP(G210,全部!C:AQ,41,FALSE)</f>
        <v>11067.000000000002</v>
      </c>
      <c r="AF210" s="4">
        <f>VLOOKUP(G210,全部!C:AR,42,FALSE)</f>
        <v>0</v>
      </c>
      <c r="AG210" s="7">
        <f>VLOOKUP(G210,全部!C:AS,43,FALSE)</f>
        <v>0</v>
      </c>
      <c r="AH210" s="64" t="str">
        <f>IF(VLOOKUP(G210,全部!C:AT,44,FALSE)=0,"",VLOOKUP(G210,全部!C:AT,44,FALSE))</f>
        <v/>
      </c>
      <c r="AI210">
        <v>0</v>
      </c>
      <c r="AJ210" s="3">
        <v>41912.686249999999</v>
      </c>
      <c r="AK210" s="2" t="s">
        <v>1699</v>
      </c>
    </row>
    <row r="211" spans="1:37" x14ac:dyDescent="0.15">
      <c r="A211" s="2" t="s">
        <v>1698</v>
      </c>
      <c r="B211">
        <v>239</v>
      </c>
      <c r="C211" s="3">
        <v>41821</v>
      </c>
      <c r="D211" s="2" t="s">
        <v>37</v>
      </c>
      <c r="E211" s="2" t="s">
        <v>1697</v>
      </c>
      <c r="F211" s="2" t="s">
        <v>41</v>
      </c>
      <c r="G211" s="2" t="s">
        <v>401</v>
      </c>
      <c r="H211" s="2" t="s">
        <v>402</v>
      </c>
      <c r="I211" s="4">
        <f>VLOOKUP(G211,全部!C:M,11,FALSE)</f>
        <v>6378103.04</v>
      </c>
      <c r="J211" s="4">
        <f t="shared" si="3"/>
        <v>0</v>
      </c>
      <c r="K211" s="4">
        <f>VLOOKUP(计算!G211,全部!C:N,12,FALSE)</f>
        <v>0</v>
      </c>
      <c r="L211" s="5">
        <f>VLOOKUP(G211,全部!C:P,14,FALSE)</f>
        <v>0</v>
      </c>
      <c r="M211" s="5">
        <f>VLOOKUP(G211,全部!C:V,20,FALSE)*100</f>
        <v>3</v>
      </c>
      <c r="N211" s="6">
        <f>VLOOKUP(G211,全部!C:W,21,FALSE)</f>
        <v>191343.0912</v>
      </c>
      <c r="O211" s="4">
        <f>VLOOKUP(G211,全部!C:X,22,FALSE)</f>
        <v>0</v>
      </c>
      <c r="P211" s="4">
        <f>VLOOKUP(G211,全部!C:Y,23,FALSE)</f>
        <v>0</v>
      </c>
      <c r="Q211" s="6">
        <f>VLOOKUP(G211,全部!C:Z,24,FALSE)</f>
        <v>191343.0912</v>
      </c>
      <c r="R211" s="7">
        <f>VLOOKUP(G211,全部!C:AA,25,FALSE)</f>
        <v>0</v>
      </c>
      <c r="S211" s="7">
        <f>VLOOKUP(G211,全部!C:AB,26,FALSE)</f>
        <v>0</v>
      </c>
      <c r="T211" s="4">
        <f>VLOOKUP(计算!G211,全部!C:AC,27,FALSE)</f>
        <v>0</v>
      </c>
      <c r="U211" s="4">
        <f>VLOOKUP(G211,全部!C:AD,28,FALSE)</f>
        <v>0</v>
      </c>
      <c r="V211" s="6">
        <f>VLOOKUP(G211,全部!C:AE,29,FALSE)</f>
        <v>0</v>
      </c>
      <c r="W211" s="4">
        <f>VLOOKUP(G211,全部!C:AF,30,FALSE)</f>
        <v>0</v>
      </c>
      <c r="X211" s="4">
        <f>VLOOKUP(G211,全部!C:AG,31,FALSE)</f>
        <v>0</v>
      </c>
      <c r="Y211" s="4">
        <f>VLOOKUP(计算!G211,全部!C:AH,32,FALSE)</f>
        <v>188631.25</v>
      </c>
      <c r="Z211" s="4">
        <f>VLOOKUP(G211,全部!C:AL,36,FALSE)</f>
        <v>188631.25</v>
      </c>
      <c r="AA211" s="4">
        <f>VLOOKUP(G211,全部!C:AM,37,FALSE)</f>
        <v>0</v>
      </c>
      <c r="AB211" s="6">
        <f>VLOOKUP(G211,全部!C:AN,38,FALSE)</f>
        <v>0</v>
      </c>
      <c r="AC211" s="4">
        <f>VLOOKUP(G211,全部!C:AO,39,FALSE)</f>
        <v>0</v>
      </c>
      <c r="AD211" s="4">
        <f>VLOOKUP(G211,全部!C:AP,40,FALSE)</f>
        <v>0</v>
      </c>
      <c r="AE211" s="6">
        <f>VLOOKUP(G211,全部!C:AQ,41,FALSE)</f>
        <v>0</v>
      </c>
      <c r="AF211" s="4">
        <f>VLOOKUP(G211,全部!C:AR,42,FALSE)</f>
        <v>0</v>
      </c>
      <c r="AG211" s="7">
        <f>VLOOKUP(G211,全部!C:AS,43,FALSE)</f>
        <v>0</v>
      </c>
      <c r="AH211" s="64" t="str">
        <f>IF(VLOOKUP(G211,全部!C:AT,44,FALSE)=0,"",VLOOKUP(G211,全部!C:AT,44,FALSE))</f>
        <v/>
      </c>
      <c r="AI211">
        <v>0</v>
      </c>
      <c r="AJ211" s="3">
        <v>41912.6862384259</v>
      </c>
      <c r="AK211" s="2" t="s">
        <v>1696</v>
      </c>
    </row>
    <row r="212" spans="1:37" x14ac:dyDescent="0.15">
      <c r="A212" s="2" t="s">
        <v>1695</v>
      </c>
      <c r="B212">
        <v>1209</v>
      </c>
      <c r="C212" s="3">
        <v>41837</v>
      </c>
      <c r="D212" s="2" t="s">
        <v>37</v>
      </c>
      <c r="E212" s="2" t="s">
        <v>1694</v>
      </c>
      <c r="F212" s="2" t="s">
        <v>38</v>
      </c>
      <c r="G212" s="2" t="s">
        <v>459</v>
      </c>
      <c r="H212" s="2" t="s">
        <v>460</v>
      </c>
      <c r="I212" s="4">
        <f>VLOOKUP(G212,全部!C:M,11,FALSE)</f>
        <v>14892896.99</v>
      </c>
      <c r="J212" s="4">
        <f t="shared" si="3"/>
        <v>0</v>
      </c>
      <c r="K212" s="4">
        <f>VLOOKUP(计算!G212,全部!C:N,12,FALSE)</f>
        <v>0</v>
      </c>
      <c r="L212" s="5">
        <f>VLOOKUP(G212,全部!C:P,14,FALSE)</f>
        <v>0</v>
      </c>
      <c r="M212" s="5">
        <f>VLOOKUP(G212,全部!C:V,20,FALSE)*100</f>
        <v>0</v>
      </c>
      <c r="N212" s="6">
        <f>VLOOKUP(G212,全部!C:W,21,FALSE)</f>
        <v>0</v>
      </c>
      <c r="O212" s="4">
        <f>VLOOKUP(G212,全部!C:X,22,FALSE)</f>
        <v>0</v>
      </c>
      <c r="P212" s="4">
        <f>VLOOKUP(G212,全部!C:Y,23,FALSE)</f>
        <v>0</v>
      </c>
      <c r="Q212" s="6">
        <f>VLOOKUP(G212,全部!C:Z,24,FALSE)</f>
        <v>0</v>
      </c>
      <c r="R212" s="7">
        <f>VLOOKUP(G212,全部!C:AA,25,FALSE)</f>
        <v>0</v>
      </c>
      <c r="S212" s="7">
        <f>VLOOKUP(G212,全部!C:AB,26,FALSE)</f>
        <v>0</v>
      </c>
      <c r="T212" s="4">
        <f>VLOOKUP(计算!G212,全部!C:AC,27,FALSE)</f>
        <v>0</v>
      </c>
      <c r="U212" s="4">
        <f>VLOOKUP(G212,全部!C:AD,28,FALSE)</f>
        <v>0</v>
      </c>
      <c r="V212" s="6">
        <f>VLOOKUP(G212,全部!C:AE,29,FALSE)</f>
        <v>0</v>
      </c>
      <c r="W212" s="4">
        <f>VLOOKUP(G212,全部!C:AF,30,FALSE)</f>
        <v>0</v>
      </c>
      <c r="X212" s="4">
        <f>VLOOKUP(G212,全部!C:AG,31,FALSE)</f>
        <v>0</v>
      </c>
      <c r="Y212" s="4">
        <f>VLOOKUP(计算!G212,全部!C:AH,32,FALSE)</f>
        <v>0</v>
      </c>
      <c r="Z212" s="4">
        <f>VLOOKUP(G212,全部!C:AL,36,FALSE)</f>
        <v>0</v>
      </c>
      <c r="AA212" s="4">
        <f>VLOOKUP(G212,全部!C:AM,37,FALSE)</f>
        <v>3.4000000000000002E-2</v>
      </c>
      <c r="AB212" s="6">
        <f>VLOOKUP(G212,全部!C:AN,38,FALSE)</f>
        <v>0</v>
      </c>
      <c r="AC212" s="4">
        <f>VLOOKUP(G212,全部!C:AO,39,FALSE)</f>
        <v>0</v>
      </c>
      <c r="AD212" s="4">
        <f>VLOOKUP(G212,全部!C:AP,40,FALSE)</f>
        <v>0</v>
      </c>
      <c r="AE212" s="6">
        <f>VLOOKUP(G212,全部!C:AQ,41,FALSE)</f>
        <v>0</v>
      </c>
      <c r="AF212" s="4">
        <f>VLOOKUP(G212,全部!C:AR,42,FALSE)</f>
        <v>0</v>
      </c>
      <c r="AG212" s="7">
        <f>VLOOKUP(G212,全部!C:AS,43,FALSE)</f>
        <v>0</v>
      </c>
      <c r="AH212" s="64" t="str">
        <f>IF(VLOOKUP(G212,全部!C:AT,44,FALSE)=0,"",VLOOKUP(G212,全部!C:AT,44,FALSE))</f>
        <v/>
      </c>
      <c r="AI212">
        <v>0</v>
      </c>
      <c r="AJ212" s="3">
        <v>41912.6862847222</v>
      </c>
      <c r="AK212" s="2" t="s">
        <v>1693</v>
      </c>
    </row>
    <row r="213" spans="1:37" x14ac:dyDescent="0.15">
      <c r="A213" s="2" t="s">
        <v>1692</v>
      </c>
      <c r="B213">
        <v>1200</v>
      </c>
      <c r="C213" s="3">
        <v>41837</v>
      </c>
      <c r="D213" s="2" t="s">
        <v>37</v>
      </c>
      <c r="E213" s="2" t="s">
        <v>1691</v>
      </c>
      <c r="F213" s="2" t="s">
        <v>38</v>
      </c>
      <c r="G213" s="2" t="s">
        <v>1645</v>
      </c>
      <c r="H213" s="2" t="s">
        <v>1679</v>
      </c>
      <c r="I213" s="4">
        <f>VLOOKUP(G213,全部!C:M,11,FALSE)</f>
        <v>0</v>
      </c>
      <c r="J213" s="4">
        <f t="shared" si="3"/>
        <v>0</v>
      </c>
      <c r="K213" s="4">
        <f>VLOOKUP(计算!G213,全部!C:N,12,FALSE)</f>
        <v>0</v>
      </c>
      <c r="L213" s="5">
        <f>VLOOKUP(G213,全部!C:P,14,FALSE)</f>
        <v>0</v>
      </c>
      <c r="M213" s="5">
        <f>VLOOKUP(G213,全部!C:V,20,FALSE)*100</f>
        <v>0</v>
      </c>
      <c r="N213" s="6">
        <f>VLOOKUP(G213,全部!C:W,21,FALSE)</f>
        <v>0</v>
      </c>
      <c r="O213" s="4">
        <f>VLOOKUP(G213,全部!C:X,22,FALSE)</f>
        <v>0</v>
      </c>
      <c r="P213" s="4">
        <f>VLOOKUP(G213,全部!C:Y,23,FALSE)</f>
        <v>0</v>
      </c>
      <c r="Q213" s="6">
        <f>VLOOKUP(G213,全部!C:Z,24,FALSE)</f>
        <v>0</v>
      </c>
      <c r="R213" s="7">
        <f>VLOOKUP(G213,全部!C:AA,25,FALSE)</f>
        <v>0</v>
      </c>
      <c r="S213" s="7">
        <f>VLOOKUP(G213,全部!C:AB,26,FALSE)</f>
        <v>0</v>
      </c>
      <c r="T213" s="4">
        <f>VLOOKUP(计算!G213,全部!C:AC,27,FALSE)</f>
        <v>0</v>
      </c>
      <c r="U213" s="4">
        <f>VLOOKUP(G213,全部!C:AD,28,FALSE)</f>
        <v>0</v>
      </c>
      <c r="V213" s="6">
        <f>VLOOKUP(G213,全部!C:AE,29,FALSE)</f>
        <v>0</v>
      </c>
      <c r="W213" s="4">
        <f>VLOOKUP(G213,全部!C:AF,30,FALSE)</f>
        <v>0</v>
      </c>
      <c r="X213" s="4">
        <f>VLOOKUP(G213,全部!C:AG,31,FALSE)</f>
        <v>0</v>
      </c>
      <c r="Y213" s="4">
        <f>VLOOKUP(计算!G213,全部!C:AH,32,FALSE)</f>
        <v>0</v>
      </c>
      <c r="Z213" s="4">
        <f>VLOOKUP(G213,全部!C:AL,36,FALSE)</f>
        <v>0</v>
      </c>
      <c r="AA213" s="4">
        <f>VLOOKUP(G213,全部!C:AM,37,FALSE)</f>
        <v>0</v>
      </c>
      <c r="AB213" s="6">
        <f>VLOOKUP(G213,全部!C:AN,38,FALSE)</f>
        <v>0</v>
      </c>
      <c r="AC213" s="4">
        <f>VLOOKUP(G213,全部!C:AO,39,FALSE)</f>
        <v>0</v>
      </c>
      <c r="AD213" s="4">
        <f>VLOOKUP(G213,全部!C:AP,40,FALSE)</f>
        <v>0</v>
      </c>
      <c r="AE213" s="6">
        <f>VLOOKUP(G213,全部!C:AQ,41,FALSE)</f>
        <v>0</v>
      </c>
      <c r="AF213" s="4">
        <f>VLOOKUP(G213,全部!C:AR,42,FALSE)</f>
        <v>0</v>
      </c>
      <c r="AG213" s="7">
        <f>VLOOKUP(G213,全部!C:AS,43,FALSE)</f>
        <v>0</v>
      </c>
      <c r="AH213" s="64" t="str">
        <f>IF(VLOOKUP(G213,全部!C:AT,44,FALSE)=0,"",VLOOKUP(G213,全部!C:AT,44,FALSE))</f>
        <v/>
      </c>
      <c r="AI213">
        <v>0</v>
      </c>
      <c r="AJ213" s="3">
        <v>41912.6862847222</v>
      </c>
      <c r="AK213" s="2" t="s">
        <v>1690</v>
      </c>
    </row>
    <row r="214" spans="1:37" x14ac:dyDescent="0.15">
      <c r="A214" s="2" t="s">
        <v>1689</v>
      </c>
      <c r="B214">
        <v>1208</v>
      </c>
      <c r="C214" s="3">
        <v>41837</v>
      </c>
      <c r="D214" s="2" t="s">
        <v>37</v>
      </c>
      <c r="E214" s="2" t="s">
        <v>1688</v>
      </c>
      <c r="F214" s="2" t="s">
        <v>38</v>
      </c>
      <c r="G214" s="2" t="s">
        <v>461</v>
      </c>
      <c r="H214" s="2" t="s">
        <v>462</v>
      </c>
      <c r="I214" s="4">
        <f>VLOOKUP(G214,全部!C:M,11,FALSE)</f>
        <v>5519500</v>
      </c>
      <c r="J214" s="4">
        <f t="shared" si="3"/>
        <v>0</v>
      </c>
      <c r="K214" s="4">
        <f>VLOOKUP(计算!G214,全部!C:N,12,FALSE)</f>
        <v>0</v>
      </c>
      <c r="L214" s="5">
        <f>VLOOKUP(G214,全部!C:P,14,FALSE)</f>
        <v>0</v>
      </c>
      <c r="M214" s="5">
        <f>VLOOKUP(G214,全部!C:V,20,FALSE)*100</f>
        <v>3</v>
      </c>
      <c r="N214" s="6">
        <f>VLOOKUP(G214,全部!C:W,21,FALSE)</f>
        <v>165585</v>
      </c>
      <c r="O214" s="4">
        <f>VLOOKUP(G214,全部!C:X,22,FALSE)</f>
        <v>50000</v>
      </c>
      <c r="P214" s="4">
        <f>VLOOKUP(G214,全部!C:Y,23,FALSE)</f>
        <v>50000</v>
      </c>
      <c r="Q214" s="6">
        <f>VLOOKUP(G214,全部!C:Z,24,FALSE)</f>
        <v>115585</v>
      </c>
      <c r="R214" s="7">
        <f>VLOOKUP(G214,全部!C:AA,25,FALSE)</f>
        <v>1000000</v>
      </c>
      <c r="S214" s="7">
        <f>VLOOKUP(G214,全部!C:AB,26,FALSE)</f>
        <v>1000000</v>
      </c>
      <c r="T214" s="4">
        <f>VLOOKUP(计算!G214,全部!C:AC,27,FALSE)</f>
        <v>1000000</v>
      </c>
      <c r="U214" s="4">
        <f>VLOOKUP(G214,全部!C:AD,28,FALSE)</f>
        <v>1000000</v>
      </c>
      <c r="V214" s="6">
        <f>VLOOKUP(G214,全部!C:AE,29,FALSE)</f>
        <v>0.18117583114412536</v>
      </c>
      <c r="W214" s="4">
        <f>VLOOKUP(G214,全部!C:AF,30,FALSE)</f>
        <v>701510.92</v>
      </c>
      <c r="X214" s="4">
        <f>VLOOKUP(G214,全部!C:AG,31,FALSE)</f>
        <v>701510.92</v>
      </c>
      <c r="Y214" s="4">
        <f>VLOOKUP(计算!G214,全部!C:AH,32,FALSE)</f>
        <v>735510.92</v>
      </c>
      <c r="Z214" s="4">
        <f>VLOOKUP(G214,全部!C:AL,36,FALSE)</f>
        <v>735510.92</v>
      </c>
      <c r="AA214" s="4">
        <f>VLOOKUP(G214,全部!C:AM,37,FALSE)</f>
        <v>3.4000000000000002E-2</v>
      </c>
      <c r="AB214" s="6">
        <f>VLOOKUP(G214,全部!C:AN,38,FALSE)</f>
        <v>34000</v>
      </c>
      <c r="AC214" s="4">
        <f>VLOOKUP(G214,全部!C:AO,39,FALSE)</f>
        <v>34000</v>
      </c>
      <c r="AD214" s="4">
        <f>VLOOKUP(G214,全部!C:AP,40,FALSE)</f>
        <v>34000</v>
      </c>
      <c r="AE214" s="6">
        <f>VLOOKUP(G214,全部!C:AQ,41,FALSE)</f>
        <v>0</v>
      </c>
      <c r="AF214" s="4">
        <f>VLOOKUP(G214,全部!C:AR,42,FALSE)</f>
        <v>0</v>
      </c>
      <c r="AG214" s="7">
        <f>VLOOKUP(G214,全部!C:AS,43,FALSE)</f>
        <v>77</v>
      </c>
      <c r="AH214" s="64" t="str">
        <f>IF(VLOOKUP(G214,全部!C:AT,44,FALSE)=0,"",VLOOKUP(G214,全部!C:AT,44,FALSE))</f>
        <v>管庄</v>
      </c>
      <c r="AI214">
        <v>0</v>
      </c>
      <c r="AJ214" s="3">
        <v>41912.6862847222</v>
      </c>
      <c r="AK214" s="2" t="s">
        <v>1687</v>
      </c>
    </row>
    <row r="215" spans="1:37" x14ac:dyDescent="0.15">
      <c r="A215" s="2" t="s">
        <v>1686</v>
      </c>
      <c r="B215">
        <v>1217</v>
      </c>
      <c r="C215" s="3">
        <v>41855</v>
      </c>
      <c r="D215" s="2" t="s">
        <v>37</v>
      </c>
      <c r="E215" s="2" t="s">
        <v>1685</v>
      </c>
      <c r="F215" s="2" t="s">
        <v>38</v>
      </c>
      <c r="G215" s="2" t="s">
        <v>463</v>
      </c>
      <c r="H215" s="2" t="s">
        <v>464</v>
      </c>
      <c r="I215" s="4">
        <f>VLOOKUP(G215,全部!C:M,11,FALSE)</f>
        <v>100000</v>
      </c>
      <c r="J215" s="4">
        <f t="shared" si="3"/>
        <v>0</v>
      </c>
      <c r="K215" s="4">
        <f>VLOOKUP(计算!G215,全部!C:N,12,FALSE)</f>
        <v>0</v>
      </c>
      <c r="L215" s="5">
        <f>VLOOKUP(G215,全部!C:P,14,FALSE)</f>
        <v>0</v>
      </c>
      <c r="M215" s="5">
        <f>VLOOKUP(G215,全部!C:V,20,FALSE)*100</f>
        <v>3.5999999999999996</v>
      </c>
      <c r="N215" s="6">
        <f>VLOOKUP(G215,全部!C:W,21,FALSE)</f>
        <v>3599.9999999999995</v>
      </c>
      <c r="O215" s="4">
        <f>VLOOKUP(G215,全部!C:X,22,FALSE)</f>
        <v>0</v>
      </c>
      <c r="P215" s="4">
        <f>VLOOKUP(G215,全部!C:Y,23,FALSE)</f>
        <v>0</v>
      </c>
      <c r="Q215" s="6">
        <f>VLOOKUP(G215,全部!C:Z,24,FALSE)</f>
        <v>3599.9999999999995</v>
      </c>
      <c r="R215" s="7">
        <f>VLOOKUP(G215,全部!C:AA,25,FALSE)</f>
        <v>0</v>
      </c>
      <c r="S215" s="7">
        <f>VLOOKUP(G215,全部!C:AB,26,FALSE)</f>
        <v>0</v>
      </c>
      <c r="T215" s="4">
        <f>VLOOKUP(计算!G215,全部!C:AC,27,FALSE)</f>
        <v>0</v>
      </c>
      <c r="U215" s="4">
        <f>VLOOKUP(G215,全部!C:AD,28,FALSE)</f>
        <v>0</v>
      </c>
      <c r="V215" s="6">
        <f>VLOOKUP(G215,全部!C:AE,29,FALSE)</f>
        <v>0</v>
      </c>
      <c r="W215" s="4">
        <f>VLOOKUP(G215,全部!C:AF,30,FALSE)</f>
        <v>0</v>
      </c>
      <c r="X215" s="4">
        <f>VLOOKUP(G215,全部!C:AG,31,FALSE)</f>
        <v>0</v>
      </c>
      <c r="Y215" s="4">
        <f>VLOOKUP(计算!G215,全部!C:AH,32,FALSE)</f>
        <v>0</v>
      </c>
      <c r="Z215" s="4">
        <f>VLOOKUP(G215,全部!C:AL,36,FALSE)</f>
        <v>0</v>
      </c>
      <c r="AA215" s="4">
        <f>VLOOKUP(G215,全部!C:AM,37,FALSE)</f>
        <v>3.4000000000000002E-2</v>
      </c>
      <c r="AB215" s="6">
        <f>VLOOKUP(G215,全部!C:AN,38,FALSE)</f>
        <v>0</v>
      </c>
      <c r="AC215" s="4">
        <f>VLOOKUP(G215,全部!C:AO,39,FALSE)</f>
        <v>0</v>
      </c>
      <c r="AD215" s="4">
        <f>VLOOKUP(G215,全部!C:AP,40,FALSE)</f>
        <v>0</v>
      </c>
      <c r="AE215" s="6">
        <f>VLOOKUP(G215,全部!C:AQ,41,FALSE)</f>
        <v>0</v>
      </c>
      <c r="AF215" s="4">
        <f>VLOOKUP(G215,全部!C:AR,42,FALSE)</f>
        <v>0</v>
      </c>
      <c r="AG215" s="7">
        <f>VLOOKUP(G215,全部!C:AS,43,FALSE)</f>
        <v>0</v>
      </c>
      <c r="AH215" s="64" t="str">
        <f>IF(VLOOKUP(G215,全部!C:AT,44,FALSE)=0,"",VLOOKUP(G215,全部!C:AT,44,FALSE))</f>
        <v/>
      </c>
      <c r="AI215">
        <v>0</v>
      </c>
      <c r="AJ215" s="3">
        <v>41912.6862847222</v>
      </c>
      <c r="AK215" s="2" t="s">
        <v>1684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5"/>
  <sheetViews>
    <sheetView zoomScale="85" zoomScaleNormal="85" workbookViewId="0">
      <pane xSplit="3" ySplit="1" topLeftCell="Z2" activePane="bottomRight" state="frozen"/>
      <selection pane="topRight" activeCell="D1" sqref="D1"/>
      <selection pane="bottomLeft" activeCell="A2" sqref="A2"/>
      <selection pane="bottomRight" activeCell="A5" sqref="A5:XFD5"/>
    </sheetView>
  </sheetViews>
  <sheetFormatPr defaultRowHeight="12" x14ac:dyDescent="0.15"/>
  <cols>
    <col min="1" max="1" width="11.25" style="62" bestFit="1" customWidth="1"/>
    <col min="2" max="2" width="16" style="12" bestFit="1" customWidth="1"/>
    <col min="3" max="3" width="15" style="12" bestFit="1" customWidth="1"/>
    <col min="4" max="4" width="38.875" style="12" bestFit="1" customWidth="1"/>
    <col min="5" max="5" width="18.5" style="12" bestFit="1" customWidth="1"/>
    <col min="6" max="6" width="75.5" style="12" bestFit="1" customWidth="1"/>
    <col min="7" max="7" width="36.5" style="12" bestFit="1" customWidth="1"/>
    <col min="8" max="8" width="8.375" style="12" bestFit="1" customWidth="1"/>
    <col min="9" max="9" width="29" style="12" bestFit="1" customWidth="1"/>
    <col min="10" max="10" width="15.5" style="12" bestFit="1" customWidth="1"/>
    <col min="11" max="11" width="23.875" style="12" bestFit="1" customWidth="1"/>
    <col min="12" max="12" width="14.375" style="12" bestFit="1" customWidth="1"/>
    <col min="13" max="13" width="16.5" style="12" bestFit="1" customWidth="1"/>
    <col min="14" max="14" width="14.375" style="12" bestFit="1" customWidth="1"/>
    <col min="15" max="15" width="20.625" style="12" bestFit="1" customWidth="1"/>
    <col min="16" max="16" width="18.5" style="12" bestFit="1" customWidth="1"/>
    <col min="17" max="18" width="15.5" style="12" bestFit="1" customWidth="1"/>
    <col min="19" max="20" width="17.625" style="12" bestFit="1" customWidth="1"/>
    <col min="21" max="21" width="15.5" style="12" bestFit="1" customWidth="1"/>
    <col min="22" max="22" width="16.5" style="12" bestFit="1" customWidth="1"/>
    <col min="23" max="24" width="23.875" style="12" bestFit="1" customWidth="1"/>
    <col min="25" max="25" width="25" style="12" bestFit="1" customWidth="1"/>
    <col min="26" max="26" width="22.75" style="12" bestFit="1" customWidth="1"/>
    <col min="27" max="27" width="21.75" style="12" bestFit="1" customWidth="1"/>
    <col min="28" max="28" width="28" style="12" bestFit="1" customWidth="1"/>
    <col min="29" max="29" width="19.625" style="12" bestFit="1" customWidth="1"/>
    <col min="30" max="30" width="26" style="12" bestFit="1" customWidth="1"/>
    <col min="31" max="31" width="17.625" style="12" bestFit="1" customWidth="1"/>
    <col min="32" max="32" width="25" style="12" bestFit="1" customWidth="1"/>
    <col min="33" max="33" width="31.25" style="12" bestFit="1" customWidth="1"/>
    <col min="34" max="34" width="15.5" style="12" bestFit="1" customWidth="1"/>
    <col min="35" max="35" width="19.625" style="12" bestFit="1" customWidth="1"/>
    <col min="36" max="36" width="22.75" style="12" bestFit="1" customWidth="1"/>
    <col min="37" max="37" width="20.625" style="12" bestFit="1" customWidth="1"/>
    <col min="38" max="38" width="21.75" style="12" bestFit="1" customWidth="1"/>
    <col min="39" max="39" width="9.25" style="12" bestFit="1" customWidth="1"/>
    <col min="40" max="41" width="16.5" style="12" bestFit="1" customWidth="1"/>
    <col min="42" max="42" width="17.625" style="12" bestFit="1" customWidth="1"/>
    <col min="43" max="45" width="15.5" style="12" bestFit="1" customWidth="1"/>
    <col min="46" max="46" width="14.375" style="12" bestFit="1" customWidth="1"/>
    <col min="47" max="49" width="15.5" style="12" bestFit="1" customWidth="1"/>
    <col min="50" max="50" width="14.375" style="12" bestFit="1" customWidth="1"/>
    <col min="51" max="16384" width="9" style="12"/>
  </cols>
  <sheetData>
    <row r="1" spans="1:46" s="10" customFormat="1" ht="13.5" x14ac:dyDescent="0.15">
      <c r="A1" s="53" t="s">
        <v>465</v>
      </c>
      <c r="B1" s="8" t="s">
        <v>466</v>
      </c>
      <c r="C1" s="8" t="s">
        <v>467</v>
      </c>
      <c r="D1" s="8" t="s">
        <v>468</v>
      </c>
      <c r="E1" s="8" t="s">
        <v>469</v>
      </c>
      <c r="F1" s="8" t="s">
        <v>470</v>
      </c>
      <c r="G1" s="8" t="s">
        <v>471</v>
      </c>
      <c r="H1" s="8" t="s">
        <v>472</v>
      </c>
      <c r="I1" s="8" t="s">
        <v>473</v>
      </c>
      <c r="J1" s="8" t="s">
        <v>474</v>
      </c>
      <c r="K1" s="8" t="s">
        <v>475</v>
      </c>
      <c r="L1" s="8" t="s">
        <v>476</v>
      </c>
      <c r="M1" s="8" t="s">
        <v>477</v>
      </c>
      <c r="N1" s="8" t="s">
        <v>478</v>
      </c>
      <c r="O1" s="8" t="s">
        <v>479</v>
      </c>
      <c r="P1" s="8" t="s">
        <v>480</v>
      </c>
      <c r="Q1" s="8" t="s">
        <v>481</v>
      </c>
      <c r="R1" s="8" t="s">
        <v>482</v>
      </c>
      <c r="S1" s="8" t="s">
        <v>483</v>
      </c>
      <c r="T1" s="8" t="s">
        <v>484</v>
      </c>
      <c r="U1" s="8" t="s">
        <v>485</v>
      </c>
      <c r="V1" s="9" t="s">
        <v>486</v>
      </c>
      <c r="W1" s="8" t="s">
        <v>487</v>
      </c>
      <c r="X1" s="8" t="s">
        <v>488</v>
      </c>
      <c r="Y1" s="8" t="s">
        <v>489</v>
      </c>
      <c r="Z1" s="8" t="s">
        <v>490</v>
      </c>
      <c r="AA1" s="8" t="s">
        <v>491</v>
      </c>
      <c r="AB1" s="8" t="s">
        <v>492</v>
      </c>
      <c r="AC1" s="8" t="s">
        <v>493</v>
      </c>
      <c r="AD1" s="8" t="s">
        <v>494</v>
      </c>
      <c r="AE1" s="9" t="s">
        <v>495</v>
      </c>
      <c r="AF1" s="8" t="s">
        <v>496</v>
      </c>
      <c r="AG1" s="8" t="s">
        <v>497</v>
      </c>
      <c r="AH1" s="8" t="s">
        <v>498</v>
      </c>
      <c r="AI1" s="8" t="s">
        <v>499</v>
      </c>
      <c r="AJ1" s="8" t="s">
        <v>500</v>
      </c>
      <c r="AK1" s="8" t="s">
        <v>501</v>
      </c>
      <c r="AL1" s="8" t="s">
        <v>502</v>
      </c>
      <c r="AM1" s="9" t="s">
        <v>503</v>
      </c>
      <c r="AN1" s="9" t="s">
        <v>504</v>
      </c>
      <c r="AO1" s="8" t="s">
        <v>505</v>
      </c>
      <c r="AP1" s="8" t="s">
        <v>506</v>
      </c>
      <c r="AQ1" s="8" t="s">
        <v>507</v>
      </c>
      <c r="AR1" s="8" t="s">
        <v>508</v>
      </c>
      <c r="AS1" s="8" t="s">
        <v>509</v>
      </c>
      <c r="AT1" s="8" t="s">
        <v>510</v>
      </c>
    </row>
    <row r="2" spans="1:46" x14ac:dyDescent="0.15">
      <c r="A2" s="54" t="s">
        <v>511</v>
      </c>
      <c r="B2" s="11" t="s">
        <v>512</v>
      </c>
      <c r="C2" s="11" t="s">
        <v>513</v>
      </c>
      <c r="D2" s="11" t="s">
        <v>514</v>
      </c>
      <c r="E2" s="11" t="s">
        <v>515</v>
      </c>
      <c r="F2" s="11"/>
      <c r="G2" s="11"/>
      <c r="H2" s="11" t="s">
        <v>516</v>
      </c>
      <c r="I2" s="11"/>
      <c r="J2" s="11" t="s">
        <v>516</v>
      </c>
      <c r="K2" s="11" t="s">
        <v>517</v>
      </c>
      <c r="L2" s="11"/>
      <c r="M2" s="11">
        <v>85000</v>
      </c>
      <c r="N2" s="11"/>
      <c r="O2" s="11"/>
      <c r="P2" s="11">
        <v>85000</v>
      </c>
      <c r="Q2" s="11"/>
      <c r="R2" s="11"/>
      <c r="S2" s="11"/>
      <c r="T2" s="11" t="s">
        <v>517</v>
      </c>
      <c r="U2" s="11" t="s">
        <v>518</v>
      </c>
      <c r="V2" s="11">
        <v>6.6000000000000003E-2</v>
      </c>
      <c r="W2" s="11">
        <f>M2*V2</f>
        <v>5610</v>
      </c>
      <c r="X2" s="11">
        <v>5610</v>
      </c>
      <c r="Y2" s="11">
        <f>X2</f>
        <v>5610</v>
      </c>
      <c r="Z2" s="11">
        <f>W2-X2</f>
        <v>0</v>
      </c>
      <c r="AA2" s="11"/>
      <c r="AB2" s="11"/>
      <c r="AC2" s="11">
        <v>0</v>
      </c>
      <c r="AD2" s="11">
        <v>0</v>
      </c>
      <c r="AE2" s="11">
        <f>AC2/M2</f>
        <v>0</v>
      </c>
      <c r="AF2" s="11"/>
      <c r="AG2" s="11"/>
      <c r="AH2" s="11">
        <v>41400</v>
      </c>
      <c r="AI2" s="11"/>
      <c r="AJ2" s="11"/>
      <c r="AK2" s="11"/>
      <c r="AL2" s="11">
        <f>AH2</f>
        <v>41400</v>
      </c>
      <c r="AM2" s="11">
        <v>3.4000000000000002E-2</v>
      </c>
      <c r="AN2" s="11">
        <f t="shared" ref="AN2:AN11" si="0">M2*AM2</f>
        <v>2890</v>
      </c>
      <c r="AO2" s="11">
        <v>2890</v>
      </c>
      <c r="AP2" s="11">
        <f>AO2</f>
        <v>2890</v>
      </c>
      <c r="AQ2" s="11">
        <f>AN2-AO2</f>
        <v>0</v>
      </c>
      <c r="AR2" s="11"/>
      <c r="AS2" s="11"/>
      <c r="AT2" s="11"/>
    </row>
    <row r="3" spans="1:46" x14ac:dyDescent="0.15">
      <c r="A3" s="54" t="s">
        <v>519</v>
      </c>
      <c r="B3" s="11" t="s">
        <v>512</v>
      </c>
      <c r="C3" s="11" t="s">
        <v>520</v>
      </c>
      <c r="D3" s="11" t="s">
        <v>521</v>
      </c>
      <c r="E3" s="11" t="s">
        <v>515</v>
      </c>
      <c r="F3" s="11"/>
      <c r="G3" s="11"/>
      <c r="H3" s="11" t="s">
        <v>516</v>
      </c>
      <c r="I3" s="11"/>
      <c r="J3" s="11" t="s">
        <v>516</v>
      </c>
      <c r="K3" s="11" t="s">
        <v>517</v>
      </c>
      <c r="L3" s="11"/>
      <c r="M3" s="11">
        <v>7494658.1799999997</v>
      </c>
      <c r="N3" s="11"/>
      <c r="O3" s="11"/>
      <c r="P3" s="11">
        <v>0</v>
      </c>
      <c r="Q3" s="11"/>
      <c r="R3" s="11"/>
      <c r="S3" s="11"/>
      <c r="T3" s="11" t="s">
        <v>517</v>
      </c>
      <c r="U3" s="11" t="s">
        <v>522</v>
      </c>
      <c r="V3" s="11">
        <v>6.6000000000000003E-2</v>
      </c>
      <c r="W3" s="11">
        <f>V3*M3</f>
        <v>494647.43988000002</v>
      </c>
      <c r="X3" s="11">
        <v>494647.44</v>
      </c>
      <c r="Y3" s="11">
        <f t="shared" ref="Y3:Y66" si="1">X3</f>
        <v>494647.44</v>
      </c>
      <c r="Z3" s="11">
        <f t="shared" ref="Z3:Z66" si="2">W3-X3</f>
        <v>-1.1999998241662979E-4</v>
      </c>
      <c r="AA3" s="11"/>
      <c r="AB3" s="11"/>
      <c r="AC3" s="11">
        <v>7381694.04</v>
      </c>
      <c r="AD3" s="11">
        <v>7381694.04</v>
      </c>
      <c r="AE3" s="11">
        <f t="shared" ref="AE3:AE22" si="3">AC3/M3</f>
        <v>0.98492737930310792</v>
      </c>
      <c r="AF3" s="11"/>
      <c r="AG3" s="11"/>
      <c r="AH3" s="11">
        <v>6578447.8700000001</v>
      </c>
      <c r="AI3" s="11"/>
      <c r="AJ3" s="11"/>
      <c r="AK3" s="11"/>
      <c r="AL3" s="11">
        <f t="shared" ref="AL3:AL66" si="4">AH3</f>
        <v>6578447.8700000001</v>
      </c>
      <c r="AM3" s="11">
        <v>3.4000000000000002E-2</v>
      </c>
      <c r="AN3" s="11">
        <f t="shared" si="0"/>
        <v>254818.37812000001</v>
      </c>
      <c r="AO3" s="11">
        <v>254818.38</v>
      </c>
      <c r="AP3" s="11">
        <f t="shared" ref="AP3:AP66" si="5">AO3</f>
        <v>254818.38</v>
      </c>
      <c r="AQ3" s="11">
        <f t="shared" ref="AQ3:AQ66" si="6">AN3-AO3</f>
        <v>-1.879999996162951E-3</v>
      </c>
      <c r="AR3" s="11"/>
      <c r="AS3" s="11"/>
      <c r="AT3" s="11"/>
    </row>
    <row r="4" spans="1:46" x14ac:dyDescent="0.15">
      <c r="A4" s="54" t="s">
        <v>523</v>
      </c>
      <c r="B4" s="11" t="s">
        <v>512</v>
      </c>
      <c r="C4" s="11" t="s">
        <v>524</v>
      </c>
      <c r="D4" s="11" t="s">
        <v>525</v>
      </c>
      <c r="E4" s="11" t="s">
        <v>515</v>
      </c>
      <c r="F4" s="11"/>
      <c r="G4" s="11"/>
      <c r="H4" s="11" t="s">
        <v>516</v>
      </c>
      <c r="I4" s="11"/>
      <c r="J4" s="11" t="s">
        <v>516</v>
      </c>
      <c r="K4" s="11" t="s">
        <v>526</v>
      </c>
      <c r="L4" s="11"/>
      <c r="M4" s="11">
        <v>3283372.21</v>
      </c>
      <c r="N4" s="11"/>
      <c r="O4" s="11"/>
      <c r="P4" s="11">
        <v>0</v>
      </c>
      <c r="Q4" s="11"/>
      <c r="R4" s="11"/>
      <c r="S4" s="11"/>
      <c r="T4" s="11" t="s">
        <v>527</v>
      </c>
      <c r="U4" s="11" t="s">
        <v>522</v>
      </c>
      <c r="V4" s="11">
        <v>6.6000000000000003E-2</v>
      </c>
      <c r="W4" s="11">
        <f t="shared" ref="W4:W67" si="7">M4*V4</f>
        <v>216702.56586</v>
      </c>
      <c r="X4" s="11">
        <v>216702.57</v>
      </c>
      <c r="Y4" s="11">
        <f t="shared" si="1"/>
        <v>216702.57</v>
      </c>
      <c r="Z4" s="11">
        <f>W4-X4</f>
        <v>-4.1400000045541674E-3</v>
      </c>
      <c r="AA4" s="11"/>
      <c r="AB4" s="11"/>
      <c r="AC4" s="11">
        <v>2641685</v>
      </c>
      <c r="AD4" s="11">
        <v>2641685</v>
      </c>
      <c r="AE4" s="11">
        <f t="shared" si="3"/>
        <v>0.80456458514034879</v>
      </c>
      <c r="AF4" s="11"/>
      <c r="AG4" s="11"/>
      <c r="AH4" s="11"/>
      <c r="AI4" s="11"/>
      <c r="AJ4" s="11"/>
      <c r="AK4" s="11"/>
      <c r="AL4" s="11">
        <v>2551867.71</v>
      </c>
      <c r="AM4" s="11">
        <v>3.4000000000000002E-2</v>
      </c>
      <c r="AN4" s="11">
        <f t="shared" si="0"/>
        <v>111634.65514</v>
      </c>
      <c r="AO4" s="11">
        <v>89817.29</v>
      </c>
      <c r="AP4" s="11">
        <f t="shared" si="5"/>
        <v>89817.29</v>
      </c>
      <c r="AQ4" s="11">
        <f t="shared" si="6"/>
        <v>21817.365140000009</v>
      </c>
      <c r="AR4" s="11">
        <v>704031.49</v>
      </c>
      <c r="AS4" s="11"/>
      <c r="AT4" s="11"/>
    </row>
    <row r="5" spans="1:46" x14ac:dyDescent="0.15">
      <c r="A5" s="54" t="s">
        <v>528</v>
      </c>
      <c r="B5" s="11" t="s">
        <v>512</v>
      </c>
      <c r="C5" s="11" t="s">
        <v>529</v>
      </c>
      <c r="D5" s="11" t="s">
        <v>530</v>
      </c>
      <c r="E5" s="11" t="s">
        <v>515</v>
      </c>
      <c r="F5" s="11"/>
      <c r="G5" s="11"/>
      <c r="H5" s="11" t="s">
        <v>516</v>
      </c>
      <c r="I5" s="11"/>
      <c r="J5" s="11" t="s">
        <v>516</v>
      </c>
      <c r="K5" s="11" t="s">
        <v>517</v>
      </c>
      <c r="L5" s="11"/>
      <c r="M5" s="11">
        <v>7212049</v>
      </c>
      <c r="N5" s="11"/>
      <c r="O5" s="11"/>
      <c r="P5" s="11">
        <v>0</v>
      </c>
      <c r="Q5" s="11"/>
      <c r="R5" s="11"/>
      <c r="S5" s="11"/>
      <c r="T5" s="11" t="s">
        <v>517</v>
      </c>
      <c r="U5" s="11" t="s">
        <v>522</v>
      </c>
      <c r="V5" s="11">
        <v>6.6000000000000003E-2</v>
      </c>
      <c r="W5" s="11">
        <f t="shared" si="7"/>
        <v>475995.234</v>
      </c>
      <c r="X5" s="11">
        <v>475995.23</v>
      </c>
      <c r="Y5" s="11">
        <f t="shared" si="1"/>
        <v>475995.23</v>
      </c>
      <c r="Z5" s="11">
        <f t="shared" si="2"/>
        <v>4.0000000153668225E-3</v>
      </c>
      <c r="AA5" s="11"/>
      <c r="AB5" s="11"/>
      <c r="AC5" s="11">
        <v>6569639.2000000002</v>
      </c>
      <c r="AD5" s="11">
        <v>6569639.2000000002</v>
      </c>
      <c r="AE5" s="11">
        <f t="shared" si="3"/>
        <v>0.91092548040092358</v>
      </c>
      <c r="AF5" s="11"/>
      <c r="AG5" s="11"/>
      <c r="AH5" s="11"/>
      <c r="AI5" s="11"/>
      <c r="AJ5" s="11"/>
      <c r="AK5" s="11"/>
      <c r="AL5" s="11">
        <v>6277110.3499999996</v>
      </c>
      <c r="AM5" s="11">
        <v>3.4000000000000002E-2</v>
      </c>
      <c r="AN5" s="11">
        <f t="shared" si="0"/>
        <v>245209.66600000003</v>
      </c>
      <c r="AO5" s="11">
        <v>223367.73</v>
      </c>
      <c r="AP5" s="11">
        <f t="shared" si="5"/>
        <v>223367.73</v>
      </c>
      <c r="AQ5" s="11">
        <f t="shared" si="6"/>
        <v>21841.936000000016</v>
      </c>
      <c r="AR5" s="11"/>
      <c r="AS5" s="11"/>
      <c r="AT5" s="11"/>
    </row>
    <row r="6" spans="1:46" x14ac:dyDescent="0.15">
      <c r="A6" s="54" t="s">
        <v>531</v>
      </c>
      <c r="B6" s="11" t="s">
        <v>532</v>
      </c>
      <c r="C6" s="11" t="s">
        <v>533</v>
      </c>
      <c r="D6" s="11" t="s">
        <v>534</v>
      </c>
      <c r="E6" s="11" t="s">
        <v>515</v>
      </c>
      <c r="F6" s="11" t="s">
        <v>535</v>
      </c>
      <c r="G6" s="11" t="s">
        <v>536</v>
      </c>
      <c r="H6" s="11" t="s">
        <v>537</v>
      </c>
      <c r="I6" s="11" t="s">
        <v>538</v>
      </c>
      <c r="J6" s="11" t="s">
        <v>539</v>
      </c>
      <c r="K6" s="11" t="s">
        <v>526</v>
      </c>
      <c r="L6" s="11"/>
      <c r="M6" s="11">
        <v>66000</v>
      </c>
      <c r="N6" s="11"/>
      <c r="O6" s="11"/>
      <c r="P6" s="11">
        <v>0</v>
      </c>
      <c r="Q6" s="11"/>
      <c r="R6" s="11"/>
      <c r="S6" s="11"/>
      <c r="T6" s="11" t="s">
        <v>517</v>
      </c>
      <c r="U6" s="11" t="s">
        <v>522</v>
      </c>
      <c r="V6" s="11">
        <v>6.6000000000000003E-2</v>
      </c>
      <c r="W6" s="11">
        <f>M6*V6</f>
        <v>4356</v>
      </c>
      <c r="X6" s="11">
        <v>0</v>
      </c>
      <c r="Y6" s="11">
        <f>X6</f>
        <v>0</v>
      </c>
      <c r="Z6" s="11">
        <f>W6-X6</f>
        <v>4356</v>
      </c>
      <c r="AA6" s="11"/>
      <c r="AB6" s="11"/>
      <c r="AC6" s="11">
        <v>0</v>
      </c>
      <c r="AD6" s="11">
        <v>0</v>
      </c>
      <c r="AE6" s="11">
        <f t="shared" si="3"/>
        <v>0</v>
      </c>
      <c r="AF6" s="11"/>
      <c r="AG6" s="11"/>
      <c r="AH6" s="11">
        <v>0</v>
      </c>
      <c r="AI6" s="11"/>
      <c r="AJ6" s="11"/>
      <c r="AK6" s="11"/>
      <c r="AL6" s="11">
        <f>AH6</f>
        <v>0</v>
      </c>
      <c r="AM6" s="11">
        <v>3.4000000000000002E-2</v>
      </c>
      <c r="AN6" s="11">
        <f t="shared" si="0"/>
        <v>2244</v>
      </c>
      <c r="AO6" s="11">
        <v>0</v>
      </c>
      <c r="AP6" s="11">
        <f>AO6</f>
        <v>0</v>
      </c>
      <c r="AQ6" s="11">
        <f>AN6-AO6</f>
        <v>2244</v>
      </c>
      <c r="AR6" s="11"/>
      <c r="AS6" s="11"/>
      <c r="AT6" s="11"/>
    </row>
    <row r="7" spans="1:46" s="13" customFormat="1" x14ac:dyDescent="0.15">
      <c r="A7" s="55" t="s">
        <v>540</v>
      </c>
      <c r="B7" s="11" t="s">
        <v>532</v>
      </c>
      <c r="C7" s="11" t="s">
        <v>541</v>
      </c>
      <c r="D7" s="11" t="s">
        <v>542</v>
      </c>
      <c r="E7" s="11" t="s">
        <v>515</v>
      </c>
      <c r="F7" s="11" t="s">
        <v>543</v>
      </c>
      <c r="G7" s="11" t="s">
        <v>544</v>
      </c>
      <c r="H7" s="11" t="s">
        <v>539</v>
      </c>
      <c r="I7" s="11" t="s">
        <v>538</v>
      </c>
      <c r="J7" s="11" t="s">
        <v>539</v>
      </c>
      <c r="K7" s="11" t="s">
        <v>517</v>
      </c>
      <c r="L7" s="11"/>
      <c r="M7" s="11">
        <v>3283372.21</v>
      </c>
      <c r="N7" s="11"/>
      <c r="O7" s="11"/>
      <c r="P7" s="11">
        <v>0</v>
      </c>
      <c r="Q7" s="11"/>
      <c r="R7" s="11"/>
      <c r="S7" s="11"/>
      <c r="T7" s="11" t="s">
        <v>517</v>
      </c>
      <c r="U7" s="11" t="s">
        <v>522</v>
      </c>
      <c r="V7" s="11">
        <v>6.6000000000000003E-2</v>
      </c>
      <c r="W7" s="11">
        <f t="shared" ref="W7:W9" si="8">M7*V7</f>
        <v>216702.56586</v>
      </c>
      <c r="X7" s="11">
        <v>216702.57</v>
      </c>
      <c r="Y7" s="11">
        <f t="shared" ref="Y7:Y14" si="9">X7</f>
        <v>216702.57</v>
      </c>
      <c r="Z7" s="11">
        <f>W7-X7</f>
        <v>-4.1400000045541674E-3</v>
      </c>
      <c r="AA7" s="11"/>
      <c r="AB7" s="11"/>
      <c r="AC7" s="11">
        <v>2641685</v>
      </c>
      <c r="AD7" s="11">
        <v>2641685</v>
      </c>
      <c r="AE7" s="11">
        <f t="shared" si="3"/>
        <v>0.80456458514034879</v>
      </c>
      <c r="AF7" s="11"/>
      <c r="AG7" s="11"/>
      <c r="AH7" s="11"/>
      <c r="AI7" s="11"/>
      <c r="AJ7" s="11"/>
      <c r="AK7" s="11"/>
      <c r="AL7" s="11">
        <v>2551867.71</v>
      </c>
      <c r="AM7" s="11">
        <v>3.4000000000000002E-2</v>
      </c>
      <c r="AN7" s="11">
        <f t="shared" si="0"/>
        <v>111634.65514</v>
      </c>
      <c r="AO7" s="11">
        <v>89817.29</v>
      </c>
      <c r="AP7" s="11">
        <f t="shared" ref="AP7:AP14" si="10">AO7</f>
        <v>89817.29</v>
      </c>
      <c r="AQ7" s="11">
        <f t="shared" ref="AQ7:AQ14" si="11">AN7-AO7</f>
        <v>21817.365140000009</v>
      </c>
      <c r="AR7" s="11"/>
      <c r="AS7" s="11"/>
      <c r="AT7" s="11"/>
    </row>
    <row r="8" spans="1:46" x14ac:dyDescent="0.15">
      <c r="A8" s="54" t="s">
        <v>545</v>
      </c>
      <c r="B8" s="11" t="s">
        <v>532</v>
      </c>
      <c r="C8" s="11" t="s">
        <v>546</v>
      </c>
      <c r="D8" s="11" t="s">
        <v>547</v>
      </c>
      <c r="E8" s="11" t="s">
        <v>548</v>
      </c>
      <c r="F8" s="11" t="s">
        <v>549</v>
      </c>
      <c r="G8" s="11" t="s">
        <v>536</v>
      </c>
      <c r="H8" s="11" t="s">
        <v>539</v>
      </c>
      <c r="I8" s="11" t="s">
        <v>538</v>
      </c>
      <c r="J8" s="11" t="s">
        <v>539</v>
      </c>
      <c r="K8" s="11" t="s">
        <v>517</v>
      </c>
      <c r="L8" s="11"/>
      <c r="M8" s="11">
        <v>7212049</v>
      </c>
      <c r="N8" s="11"/>
      <c r="O8" s="11"/>
      <c r="P8" s="11">
        <v>0</v>
      </c>
      <c r="Q8" s="11"/>
      <c r="R8" s="11"/>
      <c r="S8" s="11"/>
      <c r="T8" s="11" t="s">
        <v>517</v>
      </c>
      <c r="U8" s="11" t="s">
        <v>550</v>
      </c>
      <c r="V8" s="11">
        <v>6.6000000000000003E-2</v>
      </c>
      <c r="W8" s="11">
        <f t="shared" si="8"/>
        <v>475995.234</v>
      </c>
      <c r="X8" s="11">
        <v>475995.23</v>
      </c>
      <c r="Y8" s="11">
        <f t="shared" si="9"/>
        <v>475995.23</v>
      </c>
      <c r="Z8" s="11">
        <f t="shared" ref="Z8:Z10" si="12">W8-X8</f>
        <v>4.0000000153668225E-3</v>
      </c>
      <c r="AA8" s="11"/>
      <c r="AB8" s="11"/>
      <c r="AC8" s="11">
        <v>6569639.2000000002</v>
      </c>
      <c r="AD8" s="11">
        <v>6569639.2000000002</v>
      </c>
      <c r="AE8" s="11">
        <f t="shared" si="3"/>
        <v>0.91092548040092358</v>
      </c>
      <c r="AF8" s="11"/>
      <c r="AG8" s="11"/>
      <c r="AH8" s="11"/>
      <c r="AI8" s="11"/>
      <c r="AJ8" s="11"/>
      <c r="AK8" s="11"/>
      <c r="AL8" s="11">
        <v>6277110.3499999996</v>
      </c>
      <c r="AM8" s="11">
        <v>3.4000000000000002E-2</v>
      </c>
      <c r="AN8" s="11">
        <f t="shared" si="0"/>
        <v>245209.66600000003</v>
      </c>
      <c r="AO8" s="11">
        <v>223367.73</v>
      </c>
      <c r="AP8" s="11">
        <f t="shared" si="10"/>
        <v>223367.73</v>
      </c>
      <c r="AQ8" s="11">
        <f t="shared" si="11"/>
        <v>21841.936000000016</v>
      </c>
      <c r="AR8" s="11"/>
      <c r="AS8" s="11"/>
      <c r="AT8" s="11"/>
    </row>
    <row r="9" spans="1:46" x14ac:dyDescent="0.15">
      <c r="A9" s="54" t="s">
        <v>545</v>
      </c>
      <c r="B9" s="11" t="s">
        <v>532</v>
      </c>
      <c r="C9" s="11" t="s">
        <v>551</v>
      </c>
      <c r="D9" s="11" t="s">
        <v>542</v>
      </c>
      <c r="E9" s="11" t="s">
        <v>515</v>
      </c>
      <c r="F9" s="11" t="s">
        <v>549</v>
      </c>
      <c r="G9" s="11" t="s">
        <v>536</v>
      </c>
      <c r="H9" s="11" t="s">
        <v>537</v>
      </c>
      <c r="I9" s="11" t="s">
        <v>538</v>
      </c>
      <c r="J9" s="11" t="s">
        <v>539</v>
      </c>
      <c r="K9" s="11" t="s">
        <v>526</v>
      </c>
      <c r="L9" s="11"/>
      <c r="M9" s="11">
        <v>665109</v>
      </c>
      <c r="N9" s="11"/>
      <c r="O9" s="11"/>
      <c r="P9" s="11">
        <v>0</v>
      </c>
      <c r="Q9" s="11"/>
      <c r="R9" s="11"/>
      <c r="S9" s="11"/>
      <c r="T9" s="11" t="s">
        <v>526</v>
      </c>
      <c r="U9" s="11" t="s">
        <v>522</v>
      </c>
      <c r="V9" s="11">
        <v>0.04</v>
      </c>
      <c r="W9" s="11">
        <f t="shared" si="8"/>
        <v>26604.36</v>
      </c>
      <c r="X9" s="11">
        <v>0</v>
      </c>
      <c r="Y9" s="11">
        <f t="shared" si="9"/>
        <v>0</v>
      </c>
      <c r="Z9" s="11">
        <f t="shared" si="12"/>
        <v>26604.36</v>
      </c>
      <c r="AA9" s="11"/>
      <c r="AB9" s="11"/>
      <c r="AC9" s="11">
        <v>0</v>
      </c>
      <c r="AD9" s="11">
        <v>0</v>
      </c>
      <c r="AE9" s="11">
        <f t="shared" si="3"/>
        <v>0</v>
      </c>
      <c r="AF9" s="11"/>
      <c r="AG9" s="11"/>
      <c r="AH9" s="11"/>
      <c r="AI9" s="11"/>
      <c r="AJ9" s="11"/>
      <c r="AK9" s="11"/>
      <c r="AL9" s="11">
        <f t="shared" si="4"/>
        <v>0</v>
      </c>
      <c r="AM9" s="11">
        <v>3.4000000000000002E-2</v>
      </c>
      <c r="AN9" s="11">
        <f t="shared" si="0"/>
        <v>22613.706000000002</v>
      </c>
      <c r="AO9" s="11">
        <v>0</v>
      </c>
      <c r="AP9" s="11">
        <f t="shared" si="10"/>
        <v>0</v>
      </c>
      <c r="AQ9" s="11">
        <f t="shared" si="11"/>
        <v>22613.706000000002</v>
      </c>
      <c r="AR9" s="11"/>
      <c r="AS9" s="11"/>
      <c r="AT9" s="11"/>
    </row>
    <row r="10" spans="1:46" x14ac:dyDescent="0.15">
      <c r="A10" s="54" t="s">
        <v>552</v>
      </c>
      <c r="B10" s="11" t="s">
        <v>553</v>
      </c>
      <c r="C10" s="11" t="s">
        <v>554</v>
      </c>
      <c r="D10" s="14" t="s">
        <v>555</v>
      </c>
      <c r="E10" s="11" t="s">
        <v>515</v>
      </c>
      <c r="F10" s="14"/>
      <c r="G10" s="14"/>
      <c r="H10" s="14"/>
      <c r="I10" s="14"/>
      <c r="J10" s="14"/>
      <c r="K10" s="14"/>
      <c r="L10" s="14"/>
      <c r="M10" s="14">
        <v>10343049.93</v>
      </c>
      <c r="N10" s="14"/>
      <c r="O10" s="14"/>
      <c r="P10" s="14">
        <v>0</v>
      </c>
      <c r="Q10" s="14"/>
      <c r="R10" s="14"/>
      <c r="S10" s="14"/>
      <c r="T10" s="11" t="s">
        <v>517</v>
      </c>
      <c r="U10" s="14" t="s">
        <v>550</v>
      </c>
      <c r="V10" s="14">
        <v>3.5000000000000003E-2</v>
      </c>
      <c r="W10" s="14">
        <f>M10*V10</f>
        <v>362006.74755000003</v>
      </c>
      <c r="X10" s="14">
        <v>362006.75</v>
      </c>
      <c r="Y10" s="14">
        <f t="shared" si="9"/>
        <v>362006.75</v>
      </c>
      <c r="Z10" s="14">
        <f t="shared" si="12"/>
        <v>-2.4499999708496034E-3</v>
      </c>
      <c r="AA10" s="14"/>
      <c r="AB10" s="14"/>
      <c r="AC10" s="11">
        <v>7860688.0099999998</v>
      </c>
      <c r="AD10" s="11">
        <v>7860688.0099999998</v>
      </c>
      <c r="AE10" s="14">
        <f t="shared" si="3"/>
        <v>0.75999710561196143</v>
      </c>
      <c r="AF10" s="14"/>
      <c r="AG10" s="14"/>
      <c r="AH10" s="14">
        <v>7748729.1299999999</v>
      </c>
      <c r="AI10" s="14"/>
      <c r="AJ10" s="14"/>
      <c r="AK10" s="14"/>
      <c r="AL10" s="14">
        <f t="shared" si="4"/>
        <v>7748729.1299999999</v>
      </c>
      <c r="AM10" s="14">
        <v>3.4000000000000002E-2</v>
      </c>
      <c r="AN10" s="14">
        <f t="shared" si="0"/>
        <v>351663.69761999999</v>
      </c>
      <c r="AO10" s="14">
        <v>111118.8</v>
      </c>
      <c r="AP10" s="14">
        <f t="shared" si="10"/>
        <v>111118.8</v>
      </c>
      <c r="AQ10" s="14">
        <f t="shared" si="11"/>
        <v>240544.89762</v>
      </c>
      <c r="AR10" s="11"/>
      <c r="AS10" s="11"/>
      <c r="AT10" s="11"/>
    </row>
    <row r="11" spans="1:46" x14ac:dyDescent="0.15">
      <c r="A11" s="54" t="s">
        <v>556</v>
      </c>
      <c r="B11" s="11" t="s">
        <v>553</v>
      </c>
      <c r="C11" s="11" t="s">
        <v>557</v>
      </c>
      <c r="D11" s="11" t="s">
        <v>558</v>
      </c>
      <c r="E11" s="11" t="s">
        <v>548</v>
      </c>
      <c r="F11" s="11"/>
      <c r="G11" s="11"/>
      <c r="H11" s="11"/>
      <c r="I11" s="11"/>
      <c r="J11" s="11"/>
      <c r="K11" s="11"/>
      <c r="L11" s="11"/>
      <c r="M11" s="11">
        <v>90000</v>
      </c>
      <c r="N11" s="11"/>
      <c r="O11" s="11"/>
      <c r="P11" s="11">
        <v>0</v>
      </c>
      <c r="Q11" s="11"/>
      <c r="R11" s="11"/>
      <c r="S11" s="11"/>
      <c r="T11" s="11" t="s">
        <v>559</v>
      </c>
      <c r="U11" s="14" t="s">
        <v>522</v>
      </c>
      <c r="V11" s="11">
        <v>6.4000000000000001E-2</v>
      </c>
      <c r="W11" s="11">
        <f t="shared" ref="W11:W13" si="13">M11*V11</f>
        <v>5760</v>
      </c>
      <c r="X11" s="11">
        <v>5760</v>
      </c>
      <c r="Y11" s="11">
        <f t="shared" si="9"/>
        <v>5760</v>
      </c>
      <c r="Z11" s="11">
        <f>W11-X11</f>
        <v>0</v>
      </c>
      <c r="AA11" s="11"/>
      <c r="AB11" s="11"/>
      <c r="AC11" s="11">
        <v>72000</v>
      </c>
      <c r="AD11" s="11">
        <v>72000</v>
      </c>
      <c r="AE11" s="11">
        <f t="shared" si="3"/>
        <v>0.8</v>
      </c>
      <c r="AF11" s="11"/>
      <c r="AG11" s="11"/>
      <c r="AH11" s="11">
        <v>66960</v>
      </c>
      <c r="AI11" s="11"/>
      <c r="AJ11" s="11"/>
      <c r="AK11" s="11"/>
      <c r="AL11" s="14">
        <f t="shared" si="4"/>
        <v>66960</v>
      </c>
      <c r="AM11" s="11">
        <v>5.6000000000000001E-2</v>
      </c>
      <c r="AN11" s="11">
        <f t="shared" si="0"/>
        <v>5040</v>
      </c>
      <c r="AO11" s="11">
        <v>5040</v>
      </c>
      <c r="AP11" s="11">
        <f t="shared" si="10"/>
        <v>5040</v>
      </c>
      <c r="AQ11" s="11">
        <f t="shared" si="11"/>
        <v>0</v>
      </c>
      <c r="AR11" s="11"/>
      <c r="AS11" s="11"/>
      <c r="AT11" s="11"/>
    </row>
    <row r="12" spans="1:46" x14ac:dyDescent="0.15">
      <c r="A12" s="54" t="s">
        <v>560</v>
      </c>
      <c r="B12" s="11" t="s">
        <v>553</v>
      </c>
      <c r="C12" s="11" t="s">
        <v>561</v>
      </c>
      <c r="D12" s="11" t="s">
        <v>562</v>
      </c>
      <c r="E12" s="11" t="s">
        <v>515</v>
      </c>
      <c r="F12" s="11"/>
      <c r="G12" s="11"/>
      <c r="H12" s="11"/>
      <c r="I12" s="11"/>
      <c r="J12" s="11"/>
      <c r="K12" s="11"/>
      <c r="L12" s="11"/>
      <c r="M12" s="11">
        <v>552000</v>
      </c>
      <c r="N12" s="11"/>
      <c r="O12" s="11"/>
      <c r="P12" s="11">
        <v>0</v>
      </c>
      <c r="Q12" s="11"/>
      <c r="R12" s="11"/>
      <c r="S12" s="11"/>
      <c r="T12" s="11" t="s">
        <v>517</v>
      </c>
      <c r="U12" s="14" t="s">
        <v>522</v>
      </c>
      <c r="V12" s="11">
        <v>8.5999999999999993E-2</v>
      </c>
      <c r="W12" s="11">
        <f t="shared" si="13"/>
        <v>47471.999999999993</v>
      </c>
      <c r="X12" s="11">
        <v>41668.089999999997</v>
      </c>
      <c r="Y12" s="11">
        <f t="shared" si="9"/>
        <v>41668.089999999997</v>
      </c>
      <c r="Z12" s="11">
        <f t="shared" ref="Z12:Z14" si="14">W12-X12</f>
        <v>5803.9099999999962</v>
      </c>
      <c r="AA12" s="11"/>
      <c r="AB12" s="11"/>
      <c r="AC12" s="11">
        <v>496800</v>
      </c>
      <c r="AD12" s="11">
        <v>496800</v>
      </c>
      <c r="AE12" s="11">
        <f t="shared" si="3"/>
        <v>0.9</v>
      </c>
      <c r="AF12" s="11"/>
      <c r="AG12" s="11"/>
      <c r="AH12" s="11">
        <v>480537</v>
      </c>
      <c r="AI12" s="11"/>
      <c r="AJ12" s="11"/>
      <c r="AK12" s="11"/>
      <c r="AL12" s="14">
        <f t="shared" si="4"/>
        <v>480537</v>
      </c>
      <c r="AM12" s="11"/>
      <c r="AN12" s="11">
        <v>16263.2</v>
      </c>
      <c r="AO12" s="11">
        <v>16263.2</v>
      </c>
      <c r="AP12" s="11">
        <f t="shared" si="10"/>
        <v>16263.2</v>
      </c>
      <c r="AQ12" s="11">
        <f t="shared" si="11"/>
        <v>0</v>
      </c>
      <c r="AR12" s="11"/>
      <c r="AS12" s="11"/>
      <c r="AT12" s="11"/>
    </row>
    <row r="13" spans="1:46" x14ac:dyDescent="0.15">
      <c r="A13" s="54" t="s">
        <v>563</v>
      </c>
      <c r="B13" s="11" t="s">
        <v>564</v>
      </c>
      <c r="C13" s="11" t="s">
        <v>565</v>
      </c>
      <c r="D13" s="11" t="s">
        <v>566</v>
      </c>
      <c r="E13" s="11" t="s">
        <v>515</v>
      </c>
      <c r="F13" s="11" t="s">
        <v>567</v>
      </c>
      <c r="G13" s="11" t="s">
        <v>568</v>
      </c>
      <c r="H13" s="11" t="s">
        <v>569</v>
      </c>
      <c r="I13" s="11" t="s">
        <v>570</v>
      </c>
      <c r="J13" s="11" t="s">
        <v>571</v>
      </c>
      <c r="K13" s="11" t="s">
        <v>572</v>
      </c>
      <c r="L13" s="11"/>
      <c r="M13" s="11">
        <v>28833444.800000001</v>
      </c>
      <c r="N13" s="11"/>
      <c r="O13" s="11"/>
      <c r="P13" s="11">
        <v>0</v>
      </c>
      <c r="Q13" s="11"/>
      <c r="R13" s="11"/>
      <c r="S13" s="11"/>
      <c r="T13" s="11" t="s">
        <v>526</v>
      </c>
      <c r="U13" s="11" t="s">
        <v>573</v>
      </c>
      <c r="V13" s="11">
        <v>5.6000000000000001E-2</v>
      </c>
      <c r="W13" s="11">
        <f t="shared" si="13"/>
        <v>1614672.9088000001</v>
      </c>
      <c r="X13" s="11">
        <v>1614673</v>
      </c>
      <c r="Y13" s="11">
        <f t="shared" si="9"/>
        <v>1614673</v>
      </c>
      <c r="Z13" s="11">
        <f t="shared" si="14"/>
        <v>-9.119999990798533E-2</v>
      </c>
      <c r="AA13" s="11"/>
      <c r="AB13" s="11"/>
      <c r="AC13" s="11">
        <v>22666755.800000001</v>
      </c>
      <c r="AD13" s="11">
        <v>22666755.800000001</v>
      </c>
      <c r="AE13" s="11">
        <f t="shared" si="3"/>
        <v>0.78612721987349909</v>
      </c>
      <c r="AF13" s="11"/>
      <c r="AG13" s="11"/>
      <c r="AH13" s="11">
        <v>22653028.379999999</v>
      </c>
      <c r="AI13" s="11"/>
      <c r="AJ13" s="11"/>
      <c r="AK13" s="11"/>
      <c r="AL13" s="14">
        <f t="shared" si="4"/>
        <v>22653028.379999999</v>
      </c>
      <c r="AM13" s="11"/>
      <c r="AN13" s="11">
        <f t="shared" ref="AN13:AN22" si="15">M13*AM13</f>
        <v>0</v>
      </c>
      <c r="AO13" s="11"/>
      <c r="AP13" s="11">
        <f t="shared" si="10"/>
        <v>0</v>
      </c>
      <c r="AQ13" s="11">
        <f t="shared" si="11"/>
        <v>0</v>
      </c>
      <c r="AR13" s="11"/>
      <c r="AS13" s="11"/>
      <c r="AT13" s="11"/>
    </row>
    <row r="14" spans="1:46" x14ac:dyDescent="0.15">
      <c r="A14" s="54" t="s">
        <v>574</v>
      </c>
      <c r="B14" s="11" t="s">
        <v>575</v>
      </c>
      <c r="C14" s="11" t="s">
        <v>576</v>
      </c>
      <c r="D14" s="14" t="s">
        <v>577</v>
      </c>
      <c r="E14" s="11" t="s">
        <v>548</v>
      </c>
      <c r="F14" s="14" t="s">
        <v>578</v>
      </c>
      <c r="G14" s="14" t="s">
        <v>579</v>
      </c>
      <c r="H14" s="14" t="s">
        <v>580</v>
      </c>
      <c r="I14" s="14" t="s">
        <v>581</v>
      </c>
      <c r="J14" s="14" t="s">
        <v>580</v>
      </c>
      <c r="K14" s="11" t="s">
        <v>572</v>
      </c>
      <c r="L14" s="14"/>
      <c r="M14" s="14">
        <v>6196000</v>
      </c>
      <c r="N14" s="14"/>
      <c r="O14" s="14"/>
      <c r="P14" s="14">
        <v>0</v>
      </c>
      <c r="Q14" s="14"/>
      <c r="R14" s="14"/>
      <c r="S14" s="14"/>
      <c r="T14" s="11" t="s">
        <v>517</v>
      </c>
      <c r="U14" s="14" t="s">
        <v>550</v>
      </c>
      <c r="V14" s="14">
        <v>0.04</v>
      </c>
      <c r="W14" s="14">
        <f>M14*V14</f>
        <v>247840</v>
      </c>
      <c r="X14" s="14"/>
      <c r="Y14" s="14">
        <f t="shared" si="9"/>
        <v>0</v>
      </c>
      <c r="Z14" s="14">
        <f t="shared" si="14"/>
        <v>247840</v>
      </c>
      <c r="AA14" s="14"/>
      <c r="AB14" s="14"/>
      <c r="AC14" s="11">
        <v>3500000</v>
      </c>
      <c r="AD14" s="11">
        <v>3500000</v>
      </c>
      <c r="AE14" s="14">
        <f t="shared" si="3"/>
        <v>0.5648805681084571</v>
      </c>
      <c r="AF14" s="14"/>
      <c r="AG14" s="14"/>
      <c r="AH14" s="14">
        <v>3489148.65</v>
      </c>
      <c r="AI14" s="14"/>
      <c r="AJ14" s="14"/>
      <c r="AK14" s="14"/>
      <c r="AL14" s="14">
        <f t="shared" si="4"/>
        <v>3489148.65</v>
      </c>
      <c r="AM14" s="14"/>
      <c r="AN14" s="14">
        <f t="shared" si="15"/>
        <v>0</v>
      </c>
      <c r="AO14" s="14"/>
      <c r="AP14" s="14">
        <f t="shared" si="10"/>
        <v>0</v>
      </c>
      <c r="AQ14" s="14">
        <f t="shared" si="11"/>
        <v>0</v>
      </c>
      <c r="AR14" s="11"/>
      <c r="AS14" s="11"/>
      <c r="AT14" s="11"/>
    </row>
    <row r="15" spans="1:46" x14ac:dyDescent="0.15">
      <c r="A15" s="54" t="s">
        <v>582</v>
      </c>
      <c r="B15" s="11" t="s">
        <v>575</v>
      </c>
      <c r="C15" s="11" t="s">
        <v>583</v>
      </c>
      <c r="D15" s="11" t="s">
        <v>584</v>
      </c>
      <c r="E15" s="11" t="s">
        <v>548</v>
      </c>
      <c r="F15" s="11" t="s">
        <v>584</v>
      </c>
      <c r="G15" s="14" t="s">
        <v>585</v>
      </c>
      <c r="H15" s="14" t="s">
        <v>586</v>
      </c>
      <c r="I15" s="14" t="s">
        <v>581</v>
      </c>
      <c r="J15" s="14" t="s">
        <v>580</v>
      </c>
      <c r="K15" s="11" t="s">
        <v>527</v>
      </c>
      <c r="L15" s="11"/>
      <c r="M15" s="11">
        <v>1810092</v>
      </c>
      <c r="N15" s="11"/>
      <c r="O15" s="11"/>
      <c r="P15" s="14">
        <v>0</v>
      </c>
      <c r="Q15" s="11"/>
      <c r="R15" s="11"/>
      <c r="S15" s="11"/>
      <c r="T15" s="11" t="s">
        <v>526</v>
      </c>
      <c r="U15" s="14" t="s">
        <v>550</v>
      </c>
      <c r="V15" s="11">
        <v>0.04</v>
      </c>
      <c r="W15" s="11">
        <f t="shared" si="7"/>
        <v>72403.680000000008</v>
      </c>
      <c r="X15" s="11">
        <v>72404</v>
      </c>
      <c r="Y15" s="11">
        <f t="shared" si="1"/>
        <v>72404</v>
      </c>
      <c r="Z15" s="11">
        <f t="shared" si="2"/>
        <v>-0.319999999992433</v>
      </c>
      <c r="AA15" s="11"/>
      <c r="AB15" s="11"/>
      <c r="AC15" s="11">
        <v>1800000</v>
      </c>
      <c r="AD15" s="11">
        <v>1800000</v>
      </c>
      <c r="AE15" s="14">
        <f t="shared" si="3"/>
        <v>0.99442459278312922</v>
      </c>
      <c r="AF15" s="11"/>
      <c r="AG15" s="11"/>
      <c r="AH15" s="11">
        <v>1796144</v>
      </c>
      <c r="AI15" s="11"/>
      <c r="AJ15" s="11"/>
      <c r="AK15" s="11"/>
      <c r="AL15" s="11">
        <f t="shared" si="4"/>
        <v>1796144</v>
      </c>
      <c r="AM15" s="11"/>
      <c r="AN15" s="11">
        <f t="shared" si="15"/>
        <v>0</v>
      </c>
      <c r="AO15" s="11"/>
      <c r="AP15" s="11">
        <f t="shared" si="5"/>
        <v>0</v>
      </c>
      <c r="AQ15" s="11">
        <f t="shared" si="6"/>
        <v>0</v>
      </c>
      <c r="AR15" s="11"/>
      <c r="AS15" s="11"/>
      <c r="AT15" s="11"/>
    </row>
    <row r="16" spans="1:46" x14ac:dyDescent="0.15">
      <c r="A16" s="54" t="s">
        <v>587</v>
      </c>
      <c r="B16" s="11" t="s">
        <v>532</v>
      </c>
      <c r="C16" s="11" t="s">
        <v>588</v>
      </c>
      <c r="D16" s="14" t="s">
        <v>589</v>
      </c>
      <c r="E16" s="11" t="s">
        <v>548</v>
      </c>
      <c r="F16" s="14" t="s">
        <v>590</v>
      </c>
      <c r="G16" s="14" t="s">
        <v>591</v>
      </c>
      <c r="H16" s="14" t="s">
        <v>539</v>
      </c>
      <c r="I16" s="14" t="s">
        <v>592</v>
      </c>
      <c r="J16" s="14" t="s">
        <v>539</v>
      </c>
      <c r="K16" s="14" t="s">
        <v>572</v>
      </c>
      <c r="L16" s="14"/>
      <c r="M16" s="14">
        <v>10343049.93</v>
      </c>
      <c r="N16" s="14"/>
      <c r="O16" s="14"/>
      <c r="P16" s="14">
        <v>0</v>
      </c>
      <c r="Q16" s="14"/>
      <c r="R16" s="14"/>
      <c r="S16" s="14"/>
      <c r="T16" s="11" t="s">
        <v>517</v>
      </c>
      <c r="U16" s="14" t="s">
        <v>550</v>
      </c>
      <c r="V16" s="14">
        <v>3.5000000000000003E-2</v>
      </c>
      <c r="W16" s="14">
        <f>M16*V16</f>
        <v>362006.74755000003</v>
      </c>
      <c r="X16" s="14">
        <v>362006.75</v>
      </c>
      <c r="Y16" s="14">
        <f t="shared" si="1"/>
        <v>362006.75</v>
      </c>
      <c r="Z16" s="14">
        <f t="shared" si="2"/>
        <v>-2.4499999708496034E-3</v>
      </c>
      <c r="AA16" s="14"/>
      <c r="AB16" s="14"/>
      <c r="AC16" s="11">
        <v>7860688.0099999998</v>
      </c>
      <c r="AD16" s="11">
        <v>7860688.0099999998</v>
      </c>
      <c r="AE16" s="14">
        <f t="shared" si="3"/>
        <v>0.75999710561196143</v>
      </c>
      <c r="AF16" s="14"/>
      <c r="AG16" s="14"/>
      <c r="AH16" s="14">
        <v>7748729.1299999999</v>
      </c>
      <c r="AI16" s="14"/>
      <c r="AJ16" s="14"/>
      <c r="AK16" s="14"/>
      <c r="AL16" s="14">
        <f t="shared" si="4"/>
        <v>7748729.1299999999</v>
      </c>
      <c r="AM16" s="14">
        <v>3.4000000000000002E-2</v>
      </c>
      <c r="AN16" s="14">
        <f t="shared" si="15"/>
        <v>351663.69761999999</v>
      </c>
      <c r="AO16" s="14">
        <v>111118.8</v>
      </c>
      <c r="AP16" s="14">
        <f t="shared" si="5"/>
        <v>111118.8</v>
      </c>
      <c r="AQ16" s="14">
        <f t="shared" si="6"/>
        <v>240544.89762</v>
      </c>
      <c r="AR16" s="11"/>
      <c r="AS16" s="11"/>
      <c r="AT16" s="11"/>
    </row>
    <row r="17" spans="1:46" x14ac:dyDescent="0.15">
      <c r="A17" s="54" t="s">
        <v>593</v>
      </c>
      <c r="B17" s="11" t="s">
        <v>594</v>
      </c>
      <c r="C17" s="11" t="s">
        <v>151</v>
      </c>
      <c r="D17" s="14" t="s">
        <v>595</v>
      </c>
      <c r="E17" s="11" t="s">
        <v>548</v>
      </c>
      <c r="F17" s="14" t="s">
        <v>596</v>
      </c>
      <c r="G17" s="14" t="s">
        <v>597</v>
      </c>
      <c r="H17" s="14" t="s">
        <v>598</v>
      </c>
      <c r="I17" s="14" t="s">
        <v>599</v>
      </c>
      <c r="J17" s="14" t="s">
        <v>598</v>
      </c>
      <c r="K17" s="14" t="s">
        <v>572</v>
      </c>
      <c r="L17" s="14"/>
      <c r="M17" s="14">
        <v>10102313.33</v>
      </c>
      <c r="N17" s="14"/>
      <c r="O17" s="14"/>
      <c r="P17" s="14">
        <v>0</v>
      </c>
      <c r="Q17" s="14"/>
      <c r="R17" s="14"/>
      <c r="S17" s="14"/>
      <c r="T17" s="11" t="s">
        <v>517</v>
      </c>
      <c r="U17" s="11" t="s">
        <v>600</v>
      </c>
      <c r="V17" s="14">
        <v>0.05</v>
      </c>
      <c r="W17" s="14">
        <f>M17*V17</f>
        <v>505115.66650000005</v>
      </c>
      <c r="X17" s="14">
        <v>505116</v>
      </c>
      <c r="Y17" s="14">
        <f t="shared" si="1"/>
        <v>505116</v>
      </c>
      <c r="Z17" s="14">
        <f t="shared" si="2"/>
        <v>-0.33349999994970858</v>
      </c>
      <c r="AA17" s="14"/>
      <c r="AB17" s="14"/>
      <c r="AC17" s="11">
        <v>8081848.8399999999</v>
      </c>
      <c r="AD17" s="11">
        <v>8081848.8399999999</v>
      </c>
      <c r="AE17" s="14">
        <f t="shared" si="3"/>
        <v>0.79999981944729481</v>
      </c>
      <c r="AF17" s="14"/>
      <c r="AG17" s="14"/>
      <c r="AH17" s="14">
        <v>7517811.9900000002</v>
      </c>
      <c r="AI17" s="14"/>
      <c r="AJ17" s="14"/>
      <c r="AK17" s="14"/>
      <c r="AL17" s="14">
        <f t="shared" si="4"/>
        <v>7517811.9900000002</v>
      </c>
      <c r="AM17" s="14"/>
      <c r="AN17" s="14">
        <f t="shared" si="15"/>
        <v>0</v>
      </c>
      <c r="AO17" s="14">
        <v>306828.08</v>
      </c>
      <c r="AP17" s="14">
        <f>AO17</f>
        <v>306828.08</v>
      </c>
      <c r="AQ17" s="14">
        <v>-306828.08</v>
      </c>
      <c r="AR17" s="11"/>
      <c r="AS17" s="11"/>
      <c r="AT17" s="11"/>
    </row>
    <row r="18" spans="1:46" x14ac:dyDescent="0.15">
      <c r="A18" s="54" t="s">
        <v>601</v>
      </c>
      <c r="B18" s="11" t="s">
        <v>602</v>
      </c>
      <c r="C18" s="11" t="s">
        <v>160</v>
      </c>
      <c r="D18" s="11" t="s">
        <v>603</v>
      </c>
      <c r="E18" s="11" t="s">
        <v>515</v>
      </c>
      <c r="F18" s="11" t="s">
        <v>604</v>
      </c>
      <c r="G18" s="11" t="s">
        <v>605</v>
      </c>
      <c r="H18" s="11" t="s">
        <v>606</v>
      </c>
      <c r="I18" s="11" t="s">
        <v>607</v>
      </c>
      <c r="J18" s="11" t="s">
        <v>606</v>
      </c>
      <c r="K18" s="11" t="s">
        <v>517</v>
      </c>
      <c r="L18" s="11"/>
      <c r="M18" s="11">
        <v>5400000</v>
      </c>
      <c r="N18" s="11"/>
      <c r="O18" s="11"/>
      <c r="P18" s="11"/>
      <c r="Q18" s="11"/>
      <c r="R18" s="11"/>
      <c r="S18" s="11"/>
      <c r="T18" s="11" t="s">
        <v>517</v>
      </c>
      <c r="U18" s="11" t="s">
        <v>600</v>
      </c>
      <c r="V18" s="11">
        <v>0.04</v>
      </c>
      <c r="W18" s="11">
        <f t="shared" si="7"/>
        <v>216000</v>
      </c>
      <c r="X18" s="11">
        <v>216000</v>
      </c>
      <c r="Y18" s="11">
        <f t="shared" si="1"/>
        <v>216000</v>
      </c>
      <c r="Z18" s="11">
        <f t="shared" si="2"/>
        <v>0</v>
      </c>
      <c r="AA18" s="11"/>
      <c r="AB18" s="11"/>
      <c r="AC18" s="11">
        <v>4236242</v>
      </c>
      <c r="AD18" s="11">
        <v>4236242</v>
      </c>
      <c r="AE18" s="11">
        <f t="shared" si="3"/>
        <v>0.78448925925925928</v>
      </c>
      <c r="AF18" s="11"/>
      <c r="AG18" s="11"/>
      <c r="AH18" s="11">
        <v>4091973.96</v>
      </c>
      <c r="AI18" s="11"/>
      <c r="AJ18" s="11"/>
      <c r="AK18" s="11"/>
      <c r="AL18" s="11">
        <f t="shared" si="4"/>
        <v>4091973.96</v>
      </c>
      <c r="AM18" s="11">
        <v>3.4000000000000002E-2</v>
      </c>
      <c r="AN18" s="11">
        <f t="shared" si="15"/>
        <v>183600</v>
      </c>
      <c r="AO18" s="11">
        <v>144033</v>
      </c>
      <c r="AP18" s="11">
        <f t="shared" si="5"/>
        <v>144033</v>
      </c>
      <c r="AQ18" s="11">
        <f t="shared" si="6"/>
        <v>39567</v>
      </c>
      <c r="AR18" s="11"/>
      <c r="AS18" s="11"/>
      <c r="AT18" s="11"/>
    </row>
    <row r="19" spans="1:46" x14ac:dyDescent="0.15">
      <c r="A19" s="54" t="s">
        <v>601</v>
      </c>
      <c r="B19" s="11" t="s">
        <v>602</v>
      </c>
      <c r="C19" s="11" t="s">
        <v>608</v>
      </c>
      <c r="D19" s="11" t="s">
        <v>603</v>
      </c>
      <c r="E19" s="11" t="s">
        <v>515</v>
      </c>
      <c r="F19" s="11" t="s">
        <v>604</v>
      </c>
      <c r="G19" s="11" t="s">
        <v>609</v>
      </c>
      <c r="H19" s="11" t="s">
        <v>606</v>
      </c>
      <c r="I19" s="11" t="s">
        <v>610</v>
      </c>
      <c r="J19" s="11" t="s">
        <v>611</v>
      </c>
      <c r="K19" s="11" t="s">
        <v>517</v>
      </c>
      <c r="L19" s="11"/>
      <c r="M19" s="11">
        <v>248322.8</v>
      </c>
      <c r="N19" s="11"/>
      <c r="O19" s="11"/>
      <c r="P19" s="11"/>
      <c r="Q19" s="11"/>
      <c r="R19" s="11"/>
      <c r="S19" s="11"/>
      <c r="T19" s="11" t="s">
        <v>517</v>
      </c>
      <c r="U19" s="11" t="s">
        <v>600</v>
      </c>
      <c r="V19" s="11">
        <v>0.04</v>
      </c>
      <c r="W19" s="11">
        <f t="shared" si="7"/>
        <v>9932.9120000000003</v>
      </c>
      <c r="X19" s="11">
        <v>9933</v>
      </c>
      <c r="Y19" s="11">
        <f t="shared" si="1"/>
        <v>9933</v>
      </c>
      <c r="Z19" s="11">
        <f t="shared" si="2"/>
        <v>-8.7999999999738066E-2</v>
      </c>
      <c r="AA19" s="11"/>
      <c r="AB19" s="11"/>
      <c r="AC19" s="11">
        <v>0</v>
      </c>
      <c r="AD19" s="11">
        <v>0</v>
      </c>
      <c r="AE19" s="11">
        <f t="shared" si="3"/>
        <v>0</v>
      </c>
      <c r="AF19" s="11"/>
      <c r="AG19" s="11"/>
      <c r="AH19" s="11"/>
      <c r="AI19" s="11"/>
      <c r="AJ19" s="11"/>
      <c r="AK19" s="11"/>
      <c r="AL19" s="11">
        <f t="shared" si="4"/>
        <v>0</v>
      </c>
      <c r="AM19" s="11"/>
      <c r="AN19" s="11">
        <f t="shared" si="15"/>
        <v>0</v>
      </c>
      <c r="AO19" s="11"/>
      <c r="AP19" s="11">
        <f t="shared" si="5"/>
        <v>0</v>
      </c>
      <c r="AQ19" s="11">
        <f t="shared" si="6"/>
        <v>0</v>
      </c>
      <c r="AR19" s="11"/>
      <c r="AS19" s="11"/>
      <c r="AT19" s="11"/>
    </row>
    <row r="20" spans="1:46" x14ac:dyDescent="0.15">
      <c r="A20" s="54" t="s">
        <v>612</v>
      </c>
      <c r="B20" s="11" t="s">
        <v>594</v>
      </c>
      <c r="C20" s="11" t="s">
        <v>613</v>
      </c>
      <c r="D20" s="11" t="s">
        <v>614</v>
      </c>
      <c r="E20" s="11" t="s">
        <v>515</v>
      </c>
      <c r="F20" s="11" t="s">
        <v>615</v>
      </c>
      <c r="G20" s="11" t="s">
        <v>616</v>
      </c>
      <c r="H20" s="14" t="s">
        <v>598</v>
      </c>
      <c r="I20" s="14" t="s">
        <v>617</v>
      </c>
      <c r="J20" s="14" t="s">
        <v>618</v>
      </c>
      <c r="K20" s="11" t="s">
        <v>526</v>
      </c>
      <c r="L20" s="11"/>
      <c r="M20" s="11">
        <v>1095654</v>
      </c>
      <c r="N20" s="11"/>
      <c r="O20" s="11"/>
      <c r="P20" s="11"/>
      <c r="Q20" s="11"/>
      <c r="R20" s="11"/>
      <c r="S20" s="11"/>
      <c r="T20" s="11" t="s">
        <v>517</v>
      </c>
      <c r="U20" s="11" t="s">
        <v>600</v>
      </c>
      <c r="V20" s="11">
        <v>0.04</v>
      </c>
      <c r="W20" s="11">
        <f t="shared" si="7"/>
        <v>43826.16</v>
      </c>
      <c r="X20" s="11">
        <v>43827</v>
      </c>
      <c r="Y20" s="11">
        <f t="shared" si="1"/>
        <v>43827</v>
      </c>
      <c r="Z20" s="11">
        <f t="shared" si="2"/>
        <v>-0.83999999999650754</v>
      </c>
      <c r="AA20" s="11"/>
      <c r="AB20" s="11"/>
      <c r="AC20" s="11">
        <v>930000</v>
      </c>
      <c r="AD20" s="11">
        <v>930000</v>
      </c>
      <c r="AE20" s="11">
        <f t="shared" si="3"/>
        <v>0.8488081091293419</v>
      </c>
      <c r="AF20" s="11"/>
      <c r="AG20" s="11"/>
      <c r="AH20" s="11">
        <v>898120.15</v>
      </c>
      <c r="AI20" s="11"/>
      <c r="AJ20" s="11"/>
      <c r="AK20" s="11"/>
      <c r="AL20" s="11">
        <f t="shared" si="4"/>
        <v>898120.15</v>
      </c>
      <c r="AM20" s="11">
        <v>3.4599999999999999E-2</v>
      </c>
      <c r="AN20" s="11">
        <f t="shared" si="15"/>
        <v>37909.628400000001</v>
      </c>
      <c r="AO20" s="11">
        <v>31620</v>
      </c>
      <c r="AP20" s="11">
        <f t="shared" si="5"/>
        <v>31620</v>
      </c>
      <c r="AQ20" s="11">
        <f t="shared" si="6"/>
        <v>6289.6284000000014</v>
      </c>
      <c r="AR20" s="11"/>
      <c r="AS20" s="11"/>
      <c r="AT20" s="11"/>
    </row>
    <row r="21" spans="1:46" x14ac:dyDescent="0.15">
      <c r="A21" s="54" t="s">
        <v>619</v>
      </c>
      <c r="B21" s="11" t="s">
        <v>620</v>
      </c>
      <c r="C21" s="11" t="s">
        <v>169</v>
      </c>
      <c r="D21" s="11" t="s">
        <v>621</v>
      </c>
      <c r="E21" s="11" t="s">
        <v>515</v>
      </c>
      <c r="F21" s="11" t="s">
        <v>622</v>
      </c>
      <c r="G21" s="11" t="s">
        <v>623</v>
      </c>
      <c r="H21" s="11" t="s">
        <v>624</v>
      </c>
      <c r="I21" s="11" t="s">
        <v>625</v>
      </c>
      <c r="J21" s="11" t="s">
        <v>626</v>
      </c>
      <c r="K21" s="11" t="s">
        <v>572</v>
      </c>
      <c r="L21" s="11"/>
      <c r="M21" s="11">
        <v>7400000</v>
      </c>
      <c r="N21" s="11"/>
      <c r="O21" s="11"/>
      <c r="P21" s="11"/>
      <c r="Q21" s="11"/>
      <c r="R21" s="11"/>
      <c r="S21" s="11"/>
      <c r="T21" s="11" t="s">
        <v>526</v>
      </c>
      <c r="U21" s="11" t="s">
        <v>600</v>
      </c>
      <c r="V21" s="11">
        <v>0.04</v>
      </c>
      <c r="W21" s="11">
        <f t="shared" si="7"/>
        <v>296000</v>
      </c>
      <c r="X21" s="11">
        <v>296000</v>
      </c>
      <c r="Y21" s="11">
        <f t="shared" si="1"/>
        <v>296000</v>
      </c>
      <c r="Z21" s="11">
        <f t="shared" si="2"/>
        <v>0</v>
      </c>
      <c r="AA21" s="11"/>
      <c r="AB21" s="11"/>
      <c r="AC21" s="11">
        <v>3132050</v>
      </c>
      <c r="AD21" s="11">
        <v>3132050</v>
      </c>
      <c r="AE21" s="11">
        <f t="shared" si="3"/>
        <v>0.42325000000000002</v>
      </c>
      <c r="AF21" s="11"/>
      <c r="AG21" s="11"/>
      <c r="AH21" s="11">
        <v>3103690</v>
      </c>
      <c r="AI21" s="11"/>
      <c r="AJ21" s="11"/>
      <c r="AK21" s="11"/>
      <c r="AL21" s="11">
        <f t="shared" si="4"/>
        <v>3103690</v>
      </c>
      <c r="AM21" s="11">
        <v>3.4000000000000002E-2</v>
      </c>
      <c r="AN21" s="11">
        <f t="shared" si="15"/>
        <v>251600.00000000003</v>
      </c>
      <c r="AO21" s="11">
        <v>54365.42</v>
      </c>
      <c r="AP21" s="11">
        <f t="shared" si="5"/>
        <v>54365.42</v>
      </c>
      <c r="AQ21" s="11">
        <f t="shared" si="6"/>
        <v>197234.58000000002</v>
      </c>
      <c r="AR21" s="11"/>
      <c r="AS21" s="11"/>
      <c r="AT21" s="11"/>
    </row>
    <row r="22" spans="1:46" x14ac:dyDescent="0.15">
      <c r="A22" s="54" t="s">
        <v>619</v>
      </c>
      <c r="B22" s="11" t="s">
        <v>620</v>
      </c>
      <c r="C22" s="11" t="s">
        <v>627</v>
      </c>
      <c r="D22" s="11" t="s">
        <v>628</v>
      </c>
      <c r="E22" s="11" t="s">
        <v>515</v>
      </c>
      <c r="F22" s="11" t="s">
        <v>622</v>
      </c>
      <c r="G22" s="11" t="s">
        <v>623</v>
      </c>
      <c r="H22" s="11" t="s">
        <v>629</v>
      </c>
      <c r="I22" s="11" t="s">
        <v>630</v>
      </c>
      <c r="J22" s="11" t="s">
        <v>626</v>
      </c>
      <c r="K22" s="11" t="s">
        <v>572</v>
      </c>
      <c r="L22" s="11"/>
      <c r="M22" s="11">
        <v>1679000</v>
      </c>
      <c r="N22" s="11"/>
      <c r="O22" s="11"/>
      <c r="P22" s="11"/>
      <c r="Q22" s="11"/>
      <c r="R22" s="11"/>
      <c r="S22" s="11"/>
      <c r="T22" s="11" t="s">
        <v>526</v>
      </c>
      <c r="U22" s="11" t="s">
        <v>600</v>
      </c>
      <c r="V22" s="11">
        <v>3.5999999999999997E-2</v>
      </c>
      <c r="W22" s="11">
        <f t="shared" si="7"/>
        <v>60443.999999999993</v>
      </c>
      <c r="X22" s="11">
        <v>0</v>
      </c>
      <c r="Y22" s="11">
        <f t="shared" si="1"/>
        <v>0</v>
      </c>
      <c r="Z22" s="11">
        <f t="shared" si="2"/>
        <v>60443.999999999993</v>
      </c>
      <c r="AA22" s="11"/>
      <c r="AB22" s="11"/>
      <c r="AC22" s="11">
        <v>0</v>
      </c>
      <c r="AD22" s="11">
        <v>0</v>
      </c>
      <c r="AE22" s="11">
        <f t="shared" si="3"/>
        <v>0</v>
      </c>
      <c r="AF22" s="11"/>
      <c r="AG22" s="11"/>
      <c r="AH22" s="11"/>
      <c r="AI22" s="11"/>
      <c r="AJ22" s="11"/>
      <c r="AK22" s="11"/>
      <c r="AL22" s="11">
        <f t="shared" si="4"/>
        <v>0</v>
      </c>
      <c r="AM22" s="11">
        <v>3.4000000000000002E-2</v>
      </c>
      <c r="AN22" s="11">
        <f t="shared" si="15"/>
        <v>57086.000000000007</v>
      </c>
      <c r="AO22" s="11">
        <v>0</v>
      </c>
      <c r="AP22" s="11">
        <f t="shared" si="5"/>
        <v>0</v>
      </c>
      <c r="AQ22" s="11">
        <f t="shared" si="6"/>
        <v>57086.000000000007</v>
      </c>
      <c r="AR22" s="11"/>
      <c r="AS22" s="11"/>
      <c r="AT22" s="11"/>
    </row>
    <row r="23" spans="1:46" x14ac:dyDescent="0.15">
      <c r="A23" s="54" t="s">
        <v>619</v>
      </c>
      <c r="B23" s="11" t="s">
        <v>631</v>
      </c>
      <c r="C23" s="11" t="s">
        <v>632</v>
      </c>
      <c r="D23" s="11" t="s">
        <v>633</v>
      </c>
      <c r="E23" s="11" t="s">
        <v>548</v>
      </c>
      <c r="F23" s="11" t="s">
        <v>634</v>
      </c>
      <c r="G23" s="11" t="s">
        <v>635</v>
      </c>
      <c r="H23" s="11" t="s">
        <v>636</v>
      </c>
      <c r="I23" s="11" t="s">
        <v>637</v>
      </c>
      <c r="J23" s="11" t="s">
        <v>636</v>
      </c>
      <c r="K23" s="11" t="s">
        <v>526</v>
      </c>
      <c r="L23" s="11"/>
      <c r="M23" s="11">
        <v>1424272.9</v>
      </c>
      <c r="N23" s="11"/>
      <c r="O23" s="11"/>
      <c r="P23" s="11">
        <v>679820</v>
      </c>
      <c r="Q23" s="11"/>
      <c r="R23" s="11"/>
      <c r="S23" s="11"/>
      <c r="T23" s="11" t="s">
        <v>517</v>
      </c>
      <c r="U23" s="11" t="s">
        <v>638</v>
      </c>
      <c r="V23" s="11">
        <v>0.04</v>
      </c>
      <c r="W23" s="11">
        <f>V23*P23</f>
        <v>27192.799999999999</v>
      </c>
      <c r="X23" s="11">
        <v>27192.799999999999</v>
      </c>
      <c r="Y23" s="11">
        <f t="shared" si="1"/>
        <v>27192.799999999999</v>
      </c>
      <c r="Z23" s="11">
        <f t="shared" si="2"/>
        <v>0</v>
      </c>
      <c r="AA23" s="11"/>
      <c r="AB23" s="11"/>
      <c r="AC23" s="11">
        <v>646009</v>
      </c>
      <c r="AD23" s="11">
        <v>646009</v>
      </c>
      <c r="AE23" s="11">
        <f>AC23/P23</f>
        <v>0.95026477597010972</v>
      </c>
      <c r="AF23" s="11"/>
      <c r="AG23" s="11"/>
      <c r="AH23" s="11">
        <v>620287.39</v>
      </c>
      <c r="AI23" s="11"/>
      <c r="AJ23" s="11"/>
      <c r="AK23" s="11"/>
      <c r="AL23" s="11">
        <f t="shared" si="4"/>
        <v>620287.39</v>
      </c>
      <c r="AM23" s="11">
        <v>3.4000000000000002E-2</v>
      </c>
      <c r="AN23" s="11">
        <f>AM23*P23</f>
        <v>23113.88</v>
      </c>
      <c r="AO23" s="11">
        <v>21965.39</v>
      </c>
      <c r="AP23" s="11">
        <f t="shared" si="5"/>
        <v>21965.39</v>
      </c>
      <c r="AQ23" s="11">
        <f t="shared" si="6"/>
        <v>1148.4900000000016</v>
      </c>
      <c r="AR23" s="11"/>
      <c r="AS23" s="11"/>
      <c r="AT23" s="11"/>
    </row>
    <row r="24" spans="1:46" x14ac:dyDescent="0.15">
      <c r="A24" s="54" t="s">
        <v>619</v>
      </c>
      <c r="B24" s="11" t="s">
        <v>553</v>
      </c>
      <c r="C24" s="11" t="s">
        <v>171</v>
      </c>
      <c r="D24" s="11" t="s">
        <v>639</v>
      </c>
      <c r="E24" s="11" t="s">
        <v>548</v>
      </c>
      <c r="F24" s="11" t="s">
        <v>640</v>
      </c>
      <c r="G24" s="11" t="s">
        <v>641</v>
      </c>
      <c r="H24" s="11"/>
      <c r="I24" s="11"/>
      <c r="J24" s="11"/>
      <c r="K24" s="11" t="s">
        <v>572</v>
      </c>
      <c r="L24" s="11"/>
      <c r="M24" s="11">
        <v>560000</v>
      </c>
      <c r="N24" s="11"/>
      <c r="O24" s="11"/>
      <c r="P24" s="11"/>
      <c r="Q24" s="11"/>
      <c r="R24" s="11"/>
      <c r="S24" s="11"/>
      <c r="T24" s="11" t="s">
        <v>526</v>
      </c>
      <c r="U24" s="11" t="s">
        <v>600</v>
      </c>
      <c r="V24" s="11">
        <v>6.5000000000000002E-2</v>
      </c>
      <c r="W24" s="11">
        <f>M24*V24</f>
        <v>36400</v>
      </c>
      <c r="X24" s="11">
        <v>36400</v>
      </c>
      <c r="Y24" s="11">
        <f t="shared" si="1"/>
        <v>36400</v>
      </c>
      <c r="Z24" s="11">
        <f t="shared" si="2"/>
        <v>0</v>
      </c>
      <c r="AA24" s="11"/>
      <c r="AB24" s="11"/>
      <c r="AC24" s="11">
        <v>0</v>
      </c>
      <c r="AD24" s="11">
        <v>0</v>
      </c>
      <c r="AE24" s="11">
        <f t="shared" ref="AE24:AE86" si="16">AC24/M24</f>
        <v>0</v>
      </c>
      <c r="AF24" s="11"/>
      <c r="AG24" s="11"/>
      <c r="AH24" s="11"/>
      <c r="AI24" s="11"/>
      <c r="AJ24" s="11"/>
      <c r="AK24" s="11"/>
      <c r="AL24" s="11">
        <f t="shared" si="4"/>
        <v>0</v>
      </c>
      <c r="AM24" s="11"/>
      <c r="AN24" s="11">
        <f>M24*AM24</f>
        <v>0</v>
      </c>
      <c r="AO24" s="11"/>
      <c r="AP24" s="11">
        <f t="shared" si="5"/>
        <v>0</v>
      </c>
      <c r="AQ24" s="11">
        <f>AN24-AO24</f>
        <v>0</v>
      </c>
      <c r="AR24" s="11"/>
      <c r="AS24" s="11"/>
      <c r="AT24" s="11"/>
    </row>
    <row r="25" spans="1:46" x14ac:dyDescent="0.15">
      <c r="A25" s="54" t="s">
        <v>619</v>
      </c>
      <c r="B25" s="11" t="s">
        <v>642</v>
      </c>
      <c r="C25" s="11" t="s">
        <v>173</v>
      </c>
      <c r="D25" s="11" t="s">
        <v>643</v>
      </c>
      <c r="E25" s="11" t="s">
        <v>548</v>
      </c>
      <c r="F25" s="11" t="s">
        <v>644</v>
      </c>
      <c r="G25" s="11" t="s">
        <v>645</v>
      </c>
      <c r="H25" s="11" t="s">
        <v>646</v>
      </c>
      <c r="I25" s="11" t="s">
        <v>647</v>
      </c>
      <c r="J25" s="11" t="s">
        <v>648</v>
      </c>
      <c r="K25" s="11" t="s">
        <v>526</v>
      </c>
      <c r="L25" s="11"/>
      <c r="M25" s="11">
        <v>10496879</v>
      </c>
      <c r="N25" s="11"/>
      <c r="O25" s="11"/>
      <c r="P25" s="11">
        <v>12240225</v>
      </c>
      <c r="Q25" s="11"/>
      <c r="R25" s="11"/>
      <c r="S25" s="11"/>
      <c r="T25" s="11" t="s">
        <v>526</v>
      </c>
      <c r="U25" s="11" t="s">
        <v>638</v>
      </c>
      <c r="V25" s="11">
        <v>3.5000000000000003E-2</v>
      </c>
      <c r="W25" s="11">
        <f>V25*P25</f>
        <v>428407.87500000006</v>
      </c>
      <c r="X25" s="11">
        <v>367390.76</v>
      </c>
      <c r="Y25" s="11">
        <f t="shared" si="1"/>
        <v>367390.76</v>
      </c>
      <c r="Z25" s="11">
        <f t="shared" si="2"/>
        <v>61017.115000000049</v>
      </c>
      <c r="AA25" s="11"/>
      <c r="AB25" s="11"/>
      <c r="AC25" s="11">
        <v>9807180.1999999993</v>
      </c>
      <c r="AD25" s="11">
        <v>9807180.1999999993</v>
      </c>
      <c r="AE25" s="11">
        <f t="shared" si="16"/>
        <v>0.93429486993229127</v>
      </c>
      <c r="AF25" s="11"/>
      <c r="AG25" s="11"/>
      <c r="AH25" s="11">
        <v>9234785.1899999995</v>
      </c>
      <c r="AI25" s="11"/>
      <c r="AJ25" s="11"/>
      <c r="AK25" s="11"/>
      <c r="AL25" s="11">
        <f t="shared" si="4"/>
        <v>9234785.1899999995</v>
      </c>
      <c r="AM25" s="11"/>
      <c r="AN25" s="11">
        <v>414478.41</v>
      </c>
      <c r="AO25" s="11">
        <v>414478.41</v>
      </c>
      <c r="AP25" s="11">
        <v>414478.41</v>
      </c>
      <c r="AQ25" s="11">
        <v>0</v>
      </c>
      <c r="AR25" s="11"/>
      <c r="AS25" s="11"/>
      <c r="AT25" s="11"/>
    </row>
    <row r="26" spans="1:46" x14ac:dyDescent="0.15">
      <c r="A26" s="54" t="s">
        <v>649</v>
      </c>
      <c r="B26" s="11" t="s">
        <v>602</v>
      </c>
      <c r="C26" s="11" t="s">
        <v>650</v>
      </c>
      <c r="D26" s="11" t="s">
        <v>651</v>
      </c>
      <c r="E26" s="11" t="s">
        <v>548</v>
      </c>
      <c r="F26" s="11" t="s">
        <v>652</v>
      </c>
      <c r="G26" s="11" t="s">
        <v>653</v>
      </c>
      <c r="H26" s="11" t="s">
        <v>611</v>
      </c>
      <c r="I26" s="11" t="s">
        <v>607</v>
      </c>
      <c r="J26" s="11" t="s">
        <v>611</v>
      </c>
      <c r="K26" s="11" t="s">
        <v>526</v>
      </c>
      <c r="L26" s="11"/>
      <c r="M26" s="11">
        <v>3323897.08</v>
      </c>
      <c r="N26" s="11"/>
      <c r="O26" s="11"/>
      <c r="P26" s="11">
        <v>4884000</v>
      </c>
      <c r="Q26" s="11"/>
      <c r="R26" s="11"/>
      <c r="S26" s="11"/>
      <c r="T26" s="11" t="s">
        <v>526</v>
      </c>
      <c r="U26" s="11" t="s">
        <v>638</v>
      </c>
      <c r="V26" s="11">
        <v>0.04</v>
      </c>
      <c r="W26" s="11">
        <f>V26*P26</f>
        <v>195360</v>
      </c>
      <c r="X26" s="11">
        <v>195360</v>
      </c>
      <c r="Y26" s="11">
        <f t="shared" si="1"/>
        <v>195360</v>
      </c>
      <c r="Z26" s="11">
        <f t="shared" si="2"/>
        <v>0</v>
      </c>
      <c r="AA26" s="11"/>
      <c r="AB26" s="11"/>
      <c r="AC26" s="11">
        <v>3816858</v>
      </c>
      <c r="AD26" s="11">
        <v>3816858</v>
      </c>
      <c r="AE26" s="11">
        <f t="shared" si="16"/>
        <v>1.1483081178915444</v>
      </c>
      <c r="AF26" s="11"/>
      <c r="AG26" s="11"/>
      <c r="AH26" s="11">
        <v>3658680.67</v>
      </c>
      <c r="AI26" s="11"/>
      <c r="AJ26" s="11"/>
      <c r="AK26" s="11"/>
      <c r="AL26" s="11">
        <f t="shared" si="4"/>
        <v>3658680.67</v>
      </c>
      <c r="AM26" s="11">
        <v>3.4000000000000002E-2</v>
      </c>
      <c r="AN26" s="11">
        <f>AM26*M26</f>
        <v>113012.50072000001</v>
      </c>
      <c r="AO26" s="11">
        <v>129743</v>
      </c>
      <c r="AP26" s="11">
        <f>AO26</f>
        <v>129743</v>
      </c>
      <c r="AQ26" s="11">
        <f>AN26-AO26</f>
        <v>-16730.499279999989</v>
      </c>
      <c r="AR26" s="11"/>
      <c r="AS26" s="11"/>
      <c r="AT26" s="11"/>
    </row>
    <row r="27" spans="1:46" x14ac:dyDescent="0.15">
      <c r="A27" s="54" t="s">
        <v>654</v>
      </c>
      <c r="B27" s="11" t="s">
        <v>532</v>
      </c>
      <c r="C27" s="11" t="s">
        <v>194</v>
      </c>
      <c r="D27" s="11" t="s">
        <v>655</v>
      </c>
      <c r="E27" s="11" t="s">
        <v>515</v>
      </c>
      <c r="F27" s="14" t="s">
        <v>656</v>
      </c>
      <c r="G27" s="14" t="s">
        <v>591</v>
      </c>
      <c r="H27" s="14" t="s">
        <v>537</v>
      </c>
      <c r="I27" s="14" t="s">
        <v>592</v>
      </c>
      <c r="J27" s="14" t="s">
        <v>537</v>
      </c>
      <c r="K27" s="14" t="s">
        <v>572</v>
      </c>
      <c r="L27" s="11"/>
      <c r="M27" s="11">
        <v>24479188</v>
      </c>
      <c r="N27" s="11"/>
      <c r="O27" s="11"/>
      <c r="P27" s="11"/>
      <c r="Q27" s="11"/>
      <c r="R27" s="11"/>
      <c r="S27" s="11"/>
      <c r="T27" s="11" t="s">
        <v>526</v>
      </c>
      <c r="U27" s="11" t="s">
        <v>600</v>
      </c>
      <c r="V27" s="11">
        <v>3.5000000000000003E-2</v>
      </c>
      <c r="W27" s="11">
        <f t="shared" si="7"/>
        <v>856771.58000000007</v>
      </c>
      <c r="X27" s="11">
        <v>856771.58</v>
      </c>
      <c r="Y27" s="11">
        <f t="shared" si="1"/>
        <v>856771.58</v>
      </c>
      <c r="Z27" s="11">
        <f t="shared" si="2"/>
        <v>0</v>
      </c>
      <c r="AA27" s="11"/>
      <c r="AB27" s="11"/>
      <c r="AC27" s="11">
        <v>14834162.02</v>
      </c>
      <c r="AD27" s="11">
        <v>14834162.02</v>
      </c>
      <c r="AE27" s="11">
        <f t="shared" si="16"/>
        <v>0.60599077142591495</v>
      </c>
      <c r="AF27" s="11"/>
      <c r="AG27" s="11"/>
      <c r="AH27" s="11">
        <v>14128142.74</v>
      </c>
      <c r="AI27" s="11"/>
      <c r="AJ27" s="11"/>
      <c r="AK27" s="11"/>
      <c r="AL27" s="11">
        <f t="shared" si="4"/>
        <v>14128142.74</v>
      </c>
      <c r="AM27" s="11">
        <v>3.6999999999999998E-2</v>
      </c>
      <c r="AN27" s="11">
        <f>M27*AM27</f>
        <v>905729.95600000001</v>
      </c>
      <c r="AO27" s="11">
        <v>603593.67000000004</v>
      </c>
      <c r="AP27" s="11">
        <f t="shared" si="5"/>
        <v>603593.67000000004</v>
      </c>
      <c r="AQ27" s="11">
        <f t="shared" si="6"/>
        <v>302136.28599999996</v>
      </c>
      <c r="AR27" s="11"/>
      <c r="AS27" s="11"/>
      <c r="AT27" s="11"/>
    </row>
    <row r="28" spans="1:46" x14ac:dyDescent="0.15">
      <c r="A28" s="54" t="s">
        <v>657</v>
      </c>
      <c r="B28" s="11" t="s">
        <v>564</v>
      </c>
      <c r="C28" s="11" t="s">
        <v>200</v>
      </c>
      <c r="D28" s="11" t="s">
        <v>658</v>
      </c>
      <c r="E28" s="11" t="s">
        <v>548</v>
      </c>
      <c r="F28" s="11" t="s">
        <v>659</v>
      </c>
      <c r="G28" s="11" t="s">
        <v>660</v>
      </c>
      <c r="H28" s="11" t="s">
        <v>571</v>
      </c>
      <c r="I28" s="11" t="s">
        <v>570</v>
      </c>
      <c r="J28" s="11" t="s">
        <v>571</v>
      </c>
      <c r="K28" s="11" t="s">
        <v>661</v>
      </c>
      <c r="L28" s="11"/>
      <c r="M28" s="11">
        <v>735929</v>
      </c>
      <c r="N28" s="11"/>
      <c r="O28" s="11"/>
      <c r="P28" s="11"/>
      <c r="Q28" s="11"/>
      <c r="R28" s="11"/>
      <c r="S28" s="11"/>
      <c r="T28" s="11" t="s">
        <v>662</v>
      </c>
      <c r="U28" s="11" t="s">
        <v>663</v>
      </c>
      <c r="V28" s="11">
        <v>0.04</v>
      </c>
      <c r="W28" s="11">
        <f>M28*V28+3000</f>
        <v>32437.16</v>
      </c>
      <c r="X28" s="11">
        <v>32438</v>
      </c>
      <c r="Y28" s="11">
        <f t="shared" si="1"/>
        <v>32438</v>
      </c>
      <c r="Z28" s="11">
        <f t="shared" si="2"/>
        <v>-0.84000000000014552</v>
      </c>
      <c r="AA28" s="11"/>
      <c r="AB28" s="11"/>
      <c r="AC28" s="11">
        <v>369939.53</v>
      </c>
      <c r="AD28" s="11">
        <v>369939.53</v>
      </c>
      <c r="AE28" s="11">
        <f t="shared" si="16"/>
        <v>0.50268372356572444</v>
      </c>
      <c r="AF28" s="11"/>
      <c r="AG28" s="11"/>
      <c r="AH28" s="11">
        <v>369384</v>
      </c>
      <c r="AI28" s="11"/>
      <c r="AJ28" s="11"/>
      <c r="AK28" s="11"/>
      <c r="AL28" s="11">
        <f t="shared" si="4"/>
        <v>369384</v>
      </c>
      <c r="AM28" s="11"/>
      <c r="AN28" s="11">
        <f>M28*AM28</f>
        <v>0</v>
      </c>
      <c r="AO28" s="11"/>
      <c r="AP28" s="11">
        <f t="shared" si="5"/>
        <v>0</v>
      </c>
      <c r="AQ28" s="11">
        <f t="shared" si="6"/>
        <v>0</v>
      </c>
      <c r="AR28" s="11"/>
      <c r="AS28" s="11"/>
      <c r="AT28" s="11"/>
    </row>
    <row r="29" spans="1:46" x14ac:dyDescent="0.15">
      <c r="A29" s="54" t="s">
        <v>664</v>
      </c>
      <c r="B29" s="11" t="s">
        <v>575</v>
      </c>
      <c r="C29" s="11" t="s">
        <v>210</v>
      </c>
      <c r="D29" s="11" t="s">
        <v>665</v>
      </c>
      <c r="E29" s="11" t="s">
        <v>666</v>
      </c>
      <c r="F29" s="11" t="s">
        <v>665</v>
      </c>
      <c r="G29" s="11" t="s">
        <v>667</v>
      </c>
      <c r="H29" s="11" t="s">
        <v>668</v>
      </c>
      <c r="I29" s="14" t="s">
        <v>669</v>
      </c>
      <c r="J29" s="14" t="s">
        <v>670</v>
      </c>
      <c r="K29" s="11" t="s">
        <v>671</v>
      </c>
      <c r="L29" s="11"/>
      <c r="M29" s="11">
        <v>7457847.71</v>
      </c>
      <c r="N29" s="11"/>
      <c r="O29" s="11"/>
      <c r="P29" s="11"/>
      <c r="Q29" s="11"/>
      <c r="R29" s="11"/>
      <c r="S29" s="11"/>
      <c r="T29" s="11" t="s">
        <v>526</v>
      </c>
      <c r="U29" s="11" t="s">
        <v>600</v>
      </c>
      <c r="V29" s="11">
        <v>0.04</v>
      </c>
      <c r="W29" s="11">
        <f t="shared" si="7"/>
        <v>298313.90840000001</v>
      </c>
      <c r="X29" s="11">
        <v>298314</v>
      </c>
      <c r="Y29" s="11">
        <f t="shared" si="1"/>
        <v>298314</v>
      </c>
      <c r="Z29" s="11">
        <f t="shared" si="2"/>
        <v>-9.1599999985191971E-2</v>
      </c>
      <c r="AA29" s="11"/>
      <c r="AB29" s="11"/>
      <c r="AC29" s="11">
        <v>6847606.6600000001</v>
      </c>
      <c r="AD29" s="11">
        <v>6847606.6600000001</v>
      </c>
      <c r="AE29" s="11">
        <f t="shared" si="16"/>
        <v>0.91817464317731423</v>
      </c>
      <c r="AF29" s="11"/>
      <c r="AG29" s="11"/>
      <c r="AH29" s="11">
        <v>6685410.4400000004</v>
      </c>
      <c r="AI29" s="11"/>
      <c r="AJ29" s="11"/>
      <c r="AK29" s="11"/>
      <c r="AL29" s="11">
        <f t="shared" si="4"/>
        <v>6685410.4400000004</v>
      </c>
      <c r="AM29" s="11">
        <v>3.4000000000000002E-2</v>
      </c>
      <c r="AN29" s="11">
        <f>M29*AM29</f>
        <v>253566.82214</v>
      </c>
      <c r="AO29" s="11">
        <v>140035.07</v>
      </c>
      <c r="AP29" s="11">
        <f t="shared" si="5"/>
        <v>140035.07</v>
      </c>
      <c r="AQ29" s="11">
        <f t="shared" si="6"/>
        <v>113531.75214</v>
      </c>
      <c r="AR29" s="11"/>
      <c r="AS29" s="11"/>
      <c r="AT29" s="11"/>
    </row>
    <row r="30" spans="1:46" x14ac:dyDescent="0.15">
      <c r="A30" s="54" t="s">
        <v>672</v>
      </c>
      <c r="B30" s="11" t="s">
        <v>564</v>
      </c>
      <c r="C30" s="11" t="s">
        <v>223</v>
      </c>
      <c r="D30" s="11" t="s">
        <v>673</v>
      </c>
      <c r="E30" s="11" t="s">
        <v>548</v>
      </c>
      <c r="F30" s="11" t="s">
        <v>674</v>
      </c>
      <c r="G30" s="11" t="s">
        <v>675</v>
      </c>
      <c r="H30" s="11" t="s">
        <v>571</v>
      </c>
      <c r="I30" s="11" t="s">
        <v>570</v>
      </c>
      <c r="J30" s="11" t="s">
        <v>571</v>
      </c>
      <c r="K30" s="11" t="s">
        <v>527</v>
      </c>
      <c r="L30" s="11"/>
      <c r="M30" s="11">
        <v>4596832.51</v>
      </c>
      <c r="N30" s="11"/>
      <c r="O30" s="11"/>
      <c r="P30" s="11"/>
      <c r="Q30" s="11"/>
      <c r="R30" s="11"/>
      <c r="S30" s="11"/>
      <c r="T30" s="11" t="s">
        <v>559</v>
      </c>
      <c r="U30" s="11" t="s">
        <v>573</v>
      </c>
      <c r="V30" s="11">
        <v>0.04</v>
      </c>
      <c r="W30" s="11">
        <f t="shared" si="7"/>
        <v>183873.30040000001</v>
      </c>
      <c r="X30" s="11">
        <v>183873.89</v>
      </c>
      <c r="Y30" s="11">
        <f t="shared" si="1"/>
        <v>183873.89</v>
      </c>
      <c r="Z30" s="11">
        <f t="shared" si="2"/>
        <v>-0.58960000000661239</v>
      </c>
      <c r="AA30" s="11"/>
      <c r="AB30" s="11"/>
      <c r="AC30" s="11">
        <v>3403065.97</v>
      </c>
      <c r="AD30" s="11">
        <v>3403065.97</v>
      </c>
      <c r="AE30" s="11">
        <f t="shared" si="16"/>
        <v>0.74030671393768066</v>
      </c>
      <c r="AF30" s="11"/>
      <c r="AG30" s="11"/>
      <c r="AH30" s="11">
        <v>3112799.8</v>
      </c>
      <c r="AI30" s="11"/>
      <c r="AJ30" s="11"/>
      <c r="AK30" s="11"/>
      <c r="AL30" s="11">
        <f t="shared" si="4"/>
        <v>3112799.8</v>
      </c>
      <c r="AM30" s="11"/>
      <c r="AN30" s="11">
        <v>137474.67000000001</v>
      </c>
      <c r="AO30" s="11">
        <v>137474.67000000001</v>
      </c>
      <c r="AP30" s="11">
        <f t="shared" si="5"/>
        <v>137474.67000000001</v>
      </c>
      <c r="AQ30" s="11">
        <f t="shared" si="6"/>
        <v>0</v>
      </c>
      <c r="AR30" s="11"/>
      <c r="AS30" s="11"/>
      <c r="AT30" s="11"/>
    </row>
    <row r="31" spans="1:46" x14ac:dyDescent="0.15">
      <c r="A31" s="54" t="s">
        <v>672</v>
      </c>
      <c r="B31" s="11" t="s">
        <v>564</v>
      </c>
      <c r="C31" s="11" t="s">
        <v>676</v>
      </c>
      <c r="D31" s="11" t="s">
        <v>677</v>
      </c>
      <c r="E31" s="11" t="s">
        <v>678</v>
      </c>
      <c r="F31" s="11" t="s">
        <v>674</v>
      </c>
      <c r="G31" s="11" t="s">
        <v>675</v>
      </c>
      <c r="H31" s="11" t="s">
        <v>679</v>
      </c>
      <c r="I31" s="11" t="s">
        <v>570</v>
      </c>
      <c r="J31" s="11" t="s">
        <v>679</v>
      </c>
      <c r="K31" s="11" t="s">
        <v>680</v>
      </c>
      <c r="L31" s="11"/>
      <c r="M31" s="11">
        <v>573502.84</v>
      </c>
      <c r="N31" s="11"/>
      <c r="O31" s="11"/>
      <c r="P31" s="11"/>
      <c r="Q31" s="11"/>
      <c r="R31" s="11"/>
      <c r="S31" s="11"/>
      <c r="T31" s="11" t="s">
        <v>526</v>
      </c>
      <c r="U31" s="11" t="s">
        <v>573</v>
      </c>
      <c r="V31" s="11">
        <v>0.04</v>
      </c>
      <c r="W31" s="11">
        <f t="shared" si="7"/>
        <v>22940.113600000001</v>
      </c>
      <c r="X31" s="11">
        <v>22940.11</v>
      </c>
      <c r="Y31" s="11">
        <f t="shared" si="1"/>
        <v>22940.11</v>
      </c>
      <c r="Z31" s="11">
        <f t="shared" si="2"/>
        <v>3.6000000000058208E-3</v>
      </c>
      <c r="AA31" s="11"/>
      <c r="AB31" s="11"/>
      <c r="AC31" s="11">
        <v>0</v>
      </c>
      <c r="AD31" s="11">
        <v>0</v>
      </c>
      <c r="AE31" s="11">
        <f t="shared" si="16"/>
        <v>0</v>
      </c>
      <c r="AF31" s="11"/>
      <c r="AG31" s="11"/>
      <c r="AH31" s="11"/>
      <c r="AI31" s="11"/>
      <c r="AJ31" s="11"/>
      <c r="AK31" s="11"/>
      <c r="AL31" s="11">
        <f t="shared" si="4"/>
        <v>0</v>
      </c>
      <c r="AM31" s="11"/>
      <c r="AN31" s="11">
        <f>M31*AM31</f>
        <v>0</v>
      </c>
      <c r="AO31" s="11"/>
      <c r="AP31" s="11">
        <f t="shared" si="5"/>
        <v>0</v>
      </c>
      <c r="AQ31" s="11">
        <f t="shared" si="6"/>
        <v>0</v>
      </c>
      <c r="AR31" s="11"/>
      <c r="AS31" s="11"/>
      <c r="AT31" s="11"/>
    </row>
    <row r="32" spans="1:46" x14ac:dyDescent="0.15">
      <c r="A32" s="54" t="s">
        <v>681</v>
      </c>
      <c r="B32" s="11" t="s">
        <v>682</v>
      </c>
      <c r="C32" s="11" t="s">
        <v>683</v>
      </c>
      <c r="D32" s="11" t="s">
        <v>684</v>
      </c>
      <c r="E32" s="11" t="s">
        <v>678</v>
      </c>
      <c r="F32" s="11" t="s">
        <v>685</v>
      </c>
      <c r="G32" s="11" t="s">
        <v>686</v>
      </c>
      <c r="H32" s="11" t="s">
        <v>687</v>
      </c>
      <c r="I32" s="11" t="s">
        <v>688</v>
      </c>
      <c r="J32" s="11" t="s">
        <v>689</v>
      </c>
      <c r="K32" s="11" t="s">
        <v>526</v>
      </c>
      <c r="L32" s="11"/>
      <c r="M32" s="11">
        <v>773935.04</v>
      </c>
      <c r="N32" s="11"/>
      <c r="O32" s="11"/>
      <c r="P32" s="11"/>
      <c r="Q32" s="11"/>
      <c r="R32" s="11"/>
      <c r="S32" s="11"/>
      <c r="T32" s="11" t="s">
        <v>559</v>
      </c>
      <c r="U32" s="11" t="s">
        <v>600</v>
      </c>
      <c r="V32" s="11">
        <v>0.04</v>
      </c>
      <c r="W32" s="11">
        <f t="shared" si="7"/>
        <v>30957.401600000001</v>
      </c>
      <c r="X32" s="11">
        <v>30958</v>
      </c>
      <c r="Y32" s="11">
        <f t="shared" si="1"/>
        <v>30958</v>
      </c>
      <c r="Z32" s="11">
        <f t="shared" si="2"/>
        <v>-0.59839999999894644</v>
      </c>
      <c r="AA32" s="11"/>
      <c r="AB32" s="11"/>
      <c r="AC32" s="11">
        <v>619147</v>
      </c>
      <c r="AD32" s="11">
        <v>619147</v>
      </c>
      <c r="AE32" s="11">
        <f t="shared" si="16"/>
        <v>0.79999866655475371</v>
      </c>
      <c r="AF32" s="11"/>
      <c r="AG32" s="11"/>
      <c r="AH32" s="11">
        <v>525687.91</v>
      </c>
      <c r="AI32" s="11"/>
      <c r="AJ32" s="11"/>
      <c r="AK32" s="11"/>
      <c r="AL32" s="11">
        <f t="shared" si="4"/>
        <v>525687.91</v>
      </c>
      <c r="AM32" s="11">
        <v>3.4000000000000002E-2</v>
      </c>
      <c r="AN32" s="11">
        <f>M32*AM32</f>
        <v>26313.791360000003</v>
      </c>
      <c r="AO32" s="11">
        <v>21051</v>
      </c>
      <c r="AP32" s="11">
        <f t="shared" si="5"/>
        <v>21051</v>
      </c>
      <c r="AQ32" s="11">
        <f t="shared" si="6"/>
        <v>5262.7913600000029</v>
      </c>
      <c r="AR32" s="11"/>
      <c r="AS32" s="11"/>
      <c r="AT32" s="11"/>
    </row>
    <row r="33" spans="1:46" x14ac:dyDescent="0.15">
      <c r="A33" s="54" t="s">
        <v>690</v>
      </c>
      <c r="B33" s="11" t="s">
        <v>594</v>
      </c>
      <c r="C33" s="11" t="s">
        <v>241</v>
      </c>
      <c r="D33" s="11" t="s">
        <v>691</v>
      </c>
      <c r="E33" s="11" t="s">
        <v>548</v>
      </c>
      <c r="F33" s="14" t="s">
        <v>692</v>
      </c>
      <c r="G33" s="14" t="s">
        <v>693</v>
      </c>
      <c r="H33" s="14" t="s">
        <v>694</v>
      </c>
      <c r="I33" s="14" t="s">
        <v>599</v>
      </c>
      <c r="J33" s="14" t="s">
        <v>598</v>
      </c>
      <c r="K33" s="14" t="s">
        <v>680</v>
      </c>
      <c r="L33" s="11"/>
      <c r="M33" s="11">
        <v>238178</v>
      </c>
      <c r="N33" s="11"/>
      <c r="O33" s="11"/>
      <c r="P33" s="11"/>
      <c r="Q33" s="11"/>
      <c r="R33" s="11"/>
      <c r="S33" s="11"/>
      <c r="T33" s="11" t="s">
        <v>559</v>
      </c>
      <c r="U33" s="11" t="s">
        <v>600</v>
      </c>
      <c r="V33" s="11">
        <v>0.04</v>
      </c>
      <c r="W33" s="11">
        <f t="shared" si="7"/>
        <v>9527.1200000000008</v>
      </c>
      <c r="X33" s="11">
        <v>9569</v>
      </c>
      <c r="Y33" s="11">
        <f t="shared" si="1"/>
        <v>9569</v>
      </c>
      <c r="Z33" s="11">
        <f t="shared" si="2"/>
        <v>-41.8799999999992</v>
      </c>
      <c r="AA33" s="11"/>
      <c r="AB33" s="11"/>
      <c r="AC33" s="11">
        <v>169089</v>
      </c>
      <c r="AD33" s="11">
        <v>169089</v>
      </c>
      <c r="AE33" s="11">
        <f t="shared" si="16"/>
        <v>0.70992702936459284</v>
      </c>
      <c r="AF33" s="11"/>
      <c r="AG33" s="11"/>
      <c r="AH33" s="11">
        <v>178578</v>
      </c>
      <c r="AI33" s="11"/>
      <c r="AJ33" s="11"/>
      <c r="AK33" s="11"/>
      <c r="AL33" s="11">
        <f t="shared" si="4"/>
        <v>178578</v>
      </c>
      <c r="AM33" s="11">
        <v>3.4599999999999999E-2</v>
      </c>
      <c r="AN33" s="11">
        <f>M33*AM33</f>
        <v>8240.9588000000003</v>
      </c>
      <c r="AO33" s="11">
        <v>8240.9599999999991</v>
      </c>
      <c r="AP33" s="11">
        <f t="shared" si="5"/>
        <v>8240.9599999999991</v>
      </c>
      <c r="AQ33" s="11">
        <f t="shared" si="6"/>
        <v>-1.1999999987892807E-3</v>
      </c>
      <c r="AR33" s="11"/>
      <c r="AS33" s="11"/>
      <c r="AT33" s="11"/>
    </row>
    <row r="34" spans="1:46" x14ac:dyDescent="0.15">
      <c r="A34" s="54" t="s">
        <v>695</v>
      </c>
      <c r="B34" s="11" t="s">
        <v>682</v>
      </c>
      <c r="C34" s="11" t="s">
        <v>255</v>
      </c>
      <c r="D34" s="11" t="s">
        <v>696</v>
      </c>
      <c r="E34" s="11" t="s">
        <v>548</v>
      </c>
      <c r="F34" s="11" t="s">
        <v>697</v>
      </c>
      <c r="G34" s="11" t="s">
        <v>698</v>
      </c>
      <c r="H34" s="11" t="s">
        <v>687</v>
      </c>
      <c r="I34" s="11" t="s">
        <v>699</v>
      </c>
      <c r="J34" s="11" t="s">
        <v>687</v>
      </c>
      <c r="K34" s="11" t="s">
        <v>700</v>
      </c>
      <c r="L34" s="11"/>
      <c r="M34" s="11">
        <v>6455953.0800000001</v>
      </c>
      <c r="N34" s="11"/>
      <c r="O34" s="11"/>
      <c r="P34" s="11"/>
      <c r="Q34" s="11"/>
      <c r="R34" s="11"/>
      <c r="S34" s="11"/>
      <c r="T34" s="11" t="s">
        <v>701</v>
      </c>
      <c r="U34" s="11" t="s">
        <v>702</v>
      </c>
      <c r="V34" s="11">
        <v>0.04</v>
      </c>
      <c r="W34" s="11">
        <f t="shared" si="7"/>
        <v>258238.1232</v>
      </c>
      <c r="X34" s="11">
        <v>258238.12</v>
      </c>
      <c r="Y34" s="11">
        <f t="shared" si="1"/>
        <v>258238.12</v>
      </c>
      <c r="Z34" s="11">
        <f t="shared" si="2"/>
        <v>3.2000000064726919E-3</v>
      </c>
      <c r="AA34" s="11"/>
      <c r="AB34" s="11"/>
      <c r="AC34" s="11">
        <v>6131964.8099999996</v>
      </c>
      <c r="AD34" s="11">
        <v>6131964.8099999996</v>
      </c>
      <c r="AE34" s="11">
        <f t="shared" si="16"/>
        <v>0.94981557858533872</v>
      </c>
      <c r="AF34" s="11"/>
      <c r="AG34" s="11"/>
      <c r="AH34" s="11">
        <v>5413506.1699999999</v>
      </c>
      <c r="AI34" s="11"/>
      <c r="AJ34" s="11"/>
      <c r="AK34" s="11"/>
      <c r="AL34" s="11">
        <f t="shared" si="4"/>
        <v>5413506.1699999999</v>
      </c>
      <c r="AM34" s="11">
        <v>3.4000000000000002E-2</v>
      </c>
      <c r="AN34" s="11">
        <f>M34*AM34</f>
        <v>219502.40472000002</v>
      </c>
      <c r="AO34" s="11">
        <v>208486.96</v>
      </c>
      <c r="AP34" s="11">
        <f t="shared" si="5"/>
        <v>208486.96</v>
      </c>
      <c r="AQ34" s="11">
        <f t="shared" si="6"/>
        <v>11015.444720000029</v>
      </c>
      <c r="AR34" s="11"/>
      <c r="AS34" s="11"/>
      <c r="AT34" s="11"/>
    </row>
    <row r="35" spans="1:46" x14ac:dyDescent="0.15">
      <c r="A35" s="54" t="s">
        <v>703</v>
      </c>
      <c r="B35" s="11" t="s">
        <v>631</v>
      </c>
      <c r="C35" s="11" t="s">
        <v>267</v>
      </c>
      <c r="D35" s="11" t="s">
        <v>704</v>
      </c>
      <c r="E35" s="11" t="s">
        <v>705</v>
      </c>
      <c r="F35" s="11" t="s">
        <v>706</v>
      </c>
      <c r="G35" s="11" t="s">
        <v>707</v>
      </c>
      <c r="H35" s="11" t="s">
        <v>708</v>
      </c>
      <c r="I35" s="11" t="s">
        <v>709</v>
      </c>
      <c r="J35" s="11" t="s">
        <v>708</v>
      </c>
      <c r="K35" s="11" t="s">
        <v>700</v>
      </c>
      <c r="L35" s="11"/>
      <c r="M35" s="11">
        <v>1860000</v>
      </c>
      <c r="N35" s="11"/>
      <c r="O35" s="11"/>
      <c r="P35" s="11"/>
      <c r="Q35" s="11"/>
      <c r="R35" s="11"/>
      <c r="S35" s="11"/>
      <c r="T35" s="11" t="s">
        <v>700</v>
      </c>
      <c r="U35" s="11" t="s">
        <v>710</v>
      </c>
      <c r="V35" s="11">
        <v>0.04</v>
      </c>
      <c r="W35" s="11">
        <f t="shared" si="7"/>
        <v>74400</v>
      </c>
      <c r="X35" s="11">
        <v>74400</v>
      </c>
      <c r="Y35" s="11">
        <f t="shared" si="1"/>
        <v>74400</v>
      </c>
      <c r="Z35" s="11">
        <f t="shared" si="2"/>
        <v>0</v>
      </c>
      <c r="AA35" s="11"/>
      <c r="AB35" s="11"/>
      <c r="AC35" s="11">
        <v>1250000</v>
      </c>
      <c r="AD35" s="11">
        <v>1250000</v>
      </c>
      <c r="AE35" s="11">
        <f t="shared" si="16"/>
        <v>0.67204301075268813</v>
      </c>
      <c r="AF35" s="11"/>
      <c r="AG35" s="11"/>
      <c r="AH35" s="11">
        <v>1088668.1499999999</v>
      </c>
      <c r="AI35" s="11"/>
      <c r="AJ35" s="11"/>
      <c r="AK35" s="11"/>
      <c r="AL35" s="11">
        <f t="shared" si="4"/>
        <v>1088668.1499999999</v>
      </c>
      <c r="AM35" s="11">
        <v>3.4000000000000002E-2</v>
      </c>
      <c r="AN35" s="11">
        <f>M35*AM35</f>
        <v>63240.000000000007</v>
      </c>
      <c r="AO35" s="11">
        <v>42500</v>
      </c>
      <c r="AP35" s="11">
        <f t="shared" si="5"/>
        <v>42500</v>
      </c>
      <c r="AQ35" s="11">
        <f t="shared" si="6"/>
        <v>20740.000000000007</v>
      </c>
      <c r="AR35" s="11"/>
      <c r="AS35" s="11"/>
      <c r="AT35" s="11"/>
    </row>
    <row r="36" spans="1:46" x14ac:dyDescent="0.15">
      <c r="A36" s="54" t="s">
        <v>711</v>
      </c>
      <c r="B36" s="11" t="s">
        <v>712</v>
      </c>
      <c r="C36" s="11" t="s">
        <v>277</v>
      </c>
      <c r="D36" s="11" t="s">
        <v>713</v>
      </c>
      <c r="E36" s="11" t="s">
        <v>705</v>
      </c>
      <c r="F36" s="11" t="s">
        <v>714</v>
      </c>
      <c r="G36" s="11" t="s">
        <v>715</v>
      </c>
      <c r="H36" s="11" t="s">
        <v>716</v>
      </c>
      <c r="I36" s="11" t="s">
        <v>717</v>
      </c>
      <c r="J36" s="11" t="s">
        <v>718</v>
      </c>
      <c r="K36" s="11" t="s">
        <v>719</v>
      </c>
      <c r="L36" s="11"/>
      <c r="M36" s="11">
        <v>4095378.25</v>
      </c>
      <c r="N36" s="11"/>
      <c r="O36" s="11"/>
      <c r="P36" s="11"/>
      <c r="Q36" s="11"/>
      <c r="R36" s="11"/>
      <c r="S36" s="11"/>
      <c r="T36" s="11" t="s">
        <v>719</v>
      </c>
      <c r="U36" s="11" t="s">
        <v>600</v>
      </c>
      <c r="V36" s="11">
        <v>0.04</v>
      </c>
      <c r="W36" s="11">
        <f t="shared" si="7"/>
        <v>163815.13</v>
      </c>
      <c r="X36" s="11">
        <v>82026.100000000006</v>
      </c>
      <c r="Y36" s="11">
        <f t="shared" si="1"/>
        <v>82026.100000000006</v>
      </c>
      <c r="Z36" s="11">
        <f t="shared" si="2"/>
        <v>81789.03</v>
      </c>
      <c r="AA36" s="11"/>
      <c r="AB36" s="11"/>
      <c r="AC36" s="11">
        <v>2950877.69</v>
      </c>
      <c r="AD36" s="11">
        <v>2950877.69</v>
      </c>
      <c r="AE36" s="11">
        <f t="shared" si="16"/>
        <v>0.7205384972682316</v>
      </c>
      <c r="AF36" s="11"/>
      <c r="AG36" s="11"/>
      <c r="AH36" s="11">
        <v>2211953.5</v>
      </c>
      <c r="AI36" s="11"/>
      <c r="AJ36" s="11"/>
      <c r="AK36" s="11"/>
      <c r="AL36" s="11">
        <f t="shared" si="4"/>
        <v>2211953.5</v>
      </c>
      <c r="AM36" s="11"/>
      <c r="AN36" s="11">
        <v>148512</v>
      </c>
      <c r="AO36" s="11">
        <v>78290.92</v>
      </c>
      <c r="AP36" s="11">
        <f t="shared" si="5"/>
        <v>78290.92</v>
      </c>
      <c r="AQ36" s="11">
        <f t="shared" si="6"/>
        <v>70221.08</v>
      </c>
      <c r="AR36" s="11">
        <v>322921</v>
      </c>
      <c r="AS36" s="11"/>
      <c r="AT36" s="11"/>
    </row>
    <row r="37" spans="1:46" x14ac:dyDescent="0.15">
      <c r="A37" s="54" t="s">
        <v>720</v>
      </c>
      <c r="B37" s="11" t="s">
        <v>532</v>
      </c>
      <c r="C37" s="11" t="s">
        <v>291</v>
      </c>
      <c r="D37" s="11" t="s">
        <v>721</v>
      </c>
      <c r="E37" s="11" t="s">
        <v>548</v>
      </c>
      <c r="F37" s="11" t="s">
        <v>722</v>
      </c>
      <c r="G37" s="11" t="s">
        <v>723</v>
      </c>
      <c r="H37" s="11" t="s">
        <v>539</v>
      </c>
      <c r="I37" s="11" t="s">
        <v>724</v>
      </c>
      <c r="J37" s="11" t="s">
        <v>539</v>
      </c>
      <c r="K37" s="11" t="s">
        <v>719</v>
      </c>
      <c r="L37" s="11"/>
      <c r="M37" s="11">
        <v>5489711</v>
      </c>
      <c r="N37" s="11"/>
      <c r="O37" s="11"/>
      <c r="P37" s="11"/>
      <c r="Q37" s="11"/>
      <c r="R37" s="11"/>
      <c r="S37" s="11"/>
      <c r="T37" s="11" t="s">
        <v>526</v>
      </c>
      <c r="U37" s="11" t="s">
        <v>600</v>
      </c>
      <c r="V37" s="11">
        <v>0.03</v>
      </c>
      <c r="W37" s="11">
        <f t="shared" si="7"/>
        <v>164691.32999999999</v>
      </c>
      <c r="X37" s="11">
        <v>164692</v>
      </c>
      <c r="Y37" s="11">
        <f t="shared" si="1"/>
        <v>164692</v>
      </c>
      <c r="Z37" s="11">
        <f t="shared" si="2"/>
        <v>-0.67000000001280569</v>
      </c>
      <c r="AA37" s="11"/>
      <c r="AB37" s="11"/>
      <c r="AC37" s="11">
        <v>4391768.8</v>
      </c>
      <c r="AD37" s="11">
        <v>4391768.8</v>
      </c>
      <c r="AE37" s="11">
        <f t="shared" si="16"/>
        <v>0.79999999999999993</v>
      </c>
      <c r="AF37" s="11"/>
      <c r="AG37" s="11"/>
      <c r="AH37" s="11">
        <v>4131953.83</v>
      </c>
      <c r="AI37" s="11"/>
      <c r="AJ37" s="11"/>
      <c r="AK37" s="11"/>
      <c r="AL37" s="11">
        <f t="shared" si="4"/>
        <v>4131953.83</v>
      </c>
      <c r="AM37" s="11">
        <v>3.61E-2</v>
      </c>
      <c r="AN37" s="11">
        <f>M37*AM37</f>
        <v>198178.56710000001</v>
      </c>
      <c r="AO37" s="11">
        <v>158542.85999999999</v>
      </c>
      <c r="AP37" s="11">
        <f t="shared" si="5"/>
        <v>158542.85999999999</v>
      </c>
      <c r="AQ37" s="11">
        <f t="shared" si="6"/>
        <v>39635.707100000029</v>
      </c>
      <c r="AR37" s="11"/>
      <c r="AS37" s="11"/>
      <c r="AT37" s="11"/>
    </row>
    <row r="38" spans="1:46" x14ac:dyDescent="0.15">
      <c r="A38" s="54" t="s">
        <v>725</v>
      </c>
      <c r="B38" s="11" t="s">
        <v>532</v>
      </c>
      <c r="C38" s="11" t="s">
        <v>726</v>
      </c>
      <c r="D38" s="11" t="s">
        <v>727</v>
      </c>
      <c r="E38" s="11" t="s">
        <v>705</v>
      </c>
      <c r="F38" s="11" t="s">
        <v>728</v>
      </c>
      <c r="G38" s="11" t="s">
        <v>729</v>
      </c>
      <c r="H38" s="11" t="s">
        <v>730</v>
      </c>
      <c r="I38" s="11" t="s">
        <v>724</v>
      </c>
      <c r="J38" s="11" t="s">
        <v>539</v>
      </c>
      <c r="K38" s="11" t="s">
        <v>700</v>
      </c>
      <c r="L38" s="11"/>
      <c r="M38" s="11">
        <f>9053018.46+700302.36</f>
        <v>9753320.8200000003</v>
      </c>
      <c r="N38" s="11"/>
      <c r="O38" s="11"/>
      <c r="P38" s="11"/>
      <c r="Q38" s="11"/>
      <c r="R38" s="11"/>
      <c r="S38" s="11"/>
      <c r="T38" s="11" t="s">
        <v>700</v>
      </c>
      <c r="U38" s="11" t="s">
        <v>710</v>
      </c>
      <c r="V38" s="11">
        <v>0.03</v>
      </c>
      <c r="W38" s="11">
        <f>M38*V38</f>
        <v>292599.62459999998</v>
      </c>
      <c r="X38" s="11">
        <v>271590.55</v>
      </c>
      <c r="Y38" s="11">
        <f t="shared" si="1"/>
        <v>271590.55</v>
      </c>
      <c r="Z38" s="11">
        <f t="shared" si="2"/>
        <v>21009.074599999993</v>
      </c>
      <c r="AA38" s="11"/>
      <c r="AB38" s="11"/>
      <c r="AC38" s="11">
        <v>4983610.42</v>
      </c>
      <c r="AD38" s="11">
        <v>4983610.42</v>
      </c>
      <c r="AE38" s="11">
        <f t="shared" si="16"/>
        <v>0.51096549698034022</v>
      </c>
      <c r="AF38" s="11"/>
      <c r="AG38" s="11"/>
      <c r="AH38" s="11">
        <v>4727621</v>
      </c>
      <c r="AI38" s="11"/>
      <c r="AJ38" s="11"/>
      <c r="AK38" s="11"/>
      <c r="AL38" s="11">
        <f t="shared" si="4"/>
        <v>4727621</v>
      </c>
      <c r="AM38" s="11">
        <v>3.4000000000000002E-2</v>
      </c>
      <c r="AN38" s="11">
        <f>M38*AM38</f>
        <v>331612.90788000001</v>
      </c>
      <c r="AO38" s="11">
        <v>169442.69</v>
      </c>
      <c r="AP38" s="11">
        <f t="shared" si="5"/>
        <v>169442.69</v>
      </c>
      <c r="AQ38" s="11">
        <f t="shared" si="6"/>
        <v>162170.21788000001</v>
      </c>
      <c r="AR38" s="11"/>
      <c r="AS38" s="11"/>
      <c r="AT38" s="11"/>
    </row>
    <row r="39" spans="1:46" x14ac:dyDescent="0.15">
      <c r="A39" s="54" t="s">
        <v>725</v>
      </c>
      <c r="B39" s="11" t="s">
        <v>602</v>
      </c>
      <c r="C39" s="11" t="s">
        <v>328</v>
      </c>
      <c r="D39" s="11" t="s">
        <v>731</v>
      </c>
      <c r="E39" s="11" t="s">
        <v>705</v>
      </c>
      <c r="F39" s="11" t="s">
        <v>652</v>
      </c>
      <c r="G39" s="11" t="s">
        <v>732</v>
      </c>
      <c r="H39" s="11" t="s">
        <v>733</v>
      </c>
      <c r="I39" s="11" t="s">
        <v>607</v>
      </c>
      <c r="J39" s="11" t="s">
        <v>733</v>
      </c>
      <c r="K39" s="11" t="s">
        <v>700</v>
      </c>
      <c r="L39" s="11"/>
      <c r="M39" s="11">
        <v>449812</v>
      </c>
      <c r="N39" s="11"/>
      <c r="O39" s="11"/>
      <c r="P39" s="11"/>
      <c r="Q39" s="11"/>
      <c r="R39" s="11"/>
      <c r="S39" s="11"/>
      <c r="T39" s="11" t="s">
        <v>700</v>
      </c>
      <c r="U39" s="11" t="s">
        <v>600</v>
      </c>
      <c r="V39" s="11">
        <v>0.04</v>
      </c>
      <c r="W39" s="11">
        <f t="shared" si="7"/>
        <v>17992.48</v>
      </c>
      <c r="X39" s="11">
        <v>17992.48</v>
      </c>
      <c r="Y39" s="11">
        <f t="shared" si="1"/>
        <v>17992.48</v>
      </c>
      <c r="Z39" s="11">
        <f t="shared" si="2"/>
        <v>0</v>
      </c>
      <c r="AA39" s="11"/>
      <c r="AB39" s="11"/>
      <c r="AC39" s="11">
        <v>370600</v>
      </c>
      <c r="AD39" s="11">
        <v>370600</v>
      </c>
      <c r="AE39" s="11">
        <f t="shared" si="16"/>
        <v>0.82389976256747266</v>
      </c>
      <c r="AF39" s="11"/>
      <c r="AG39" s="11"/>
      <c r="AH39" s="11">
        <v>365664.6</v>
      </c>
      <c r="AI39" s="11"/>
      <c r="AJ39" s="11"/>
      <c r="AK39" s="11"/>
      <c r="AL39" s="11">
        <f t="shared" si="4"/>
        <v>365664.6</v>
      </c>
      <c r="AM39" s="11">
        <v>3.4000000000000002E-2</v>
      </c>
      <c r="AN39" s="11">
        <f>M39*AM39</f>
        <v>15293.608000000002</v>
      </c>
      <c r="AO39" s="11">
        <v>12580</v>
      </c>
      <c r="AP39" s="11">
        <f t="shared" si="5"/>
        <v>12580</v>
      </c>
      <c r="AQ39" s="11">
        <f t="shared" si="6"/>
        <v>2713.608000000002</v>
      </c>
      <c r="AR39" s="11"/>
      <c r="AS39" s="11"/>
      <c r="AT39" s="11"/>
    </row>
    <row r="40" spans="1:46" x14ac:dyDescent="0.15">
      <c r="A40" s="54" t="s">
        <v>725</v>
      </c>
      <c r="B40" s="11" t="s">
        <v>734</v>
      </c>
      <c r="C40" s="11" t="s">
        <v>306</v>
      </c>
      <c r="D40" s="11" t="s">
        <v>735</v>
      </c>
      <c r="E40" s="11" t="s">
        <v>548</v>
      </c>
      <c r="F40" s="11" t="s">
        <v>736</v>
      </c>
      <c r="G40" s="11" t="s">
        <v>737</v>
      </c>
      <c r="H40" s="11" t="s">
        <v>738</v>
      </c>
      <c r="I40" s="11" t="s">
        <v>739</v>
      </c>
      <c r="J40" s="11" t="s">
        <v>740</v>
      </c>
      <c r="K40" s="11" t="s">
        <v>719</v>
      </c>
      <c r="L40" s="11"/>
      <c r="M40" s="11">
        <v>1440423.32</v>
      </c>
      <c r="N40" s="11"/>
      <c r="O40" s="11"/>
      <c r="P40" s="11"/>
      <c r="Q40" s="11"/>
      <c r="R40" s="11"/>
      <c r="S40" s="11"/>
      <c r="T40" s="11" t="s">
        <v>700</v>
      </c>
      <c r="U40" s="11" t="s">
        <v>710</v>
      </c>
      <c r="V40" s="11">
        <v>0.04</v>
      </c>
      <c r="W40" s="11">
        <f t="shared" si="7"/>
        <v>57616.932800000002</v>
      </c>
      <c r="X40" s="11">
        <v>57617</v>
      </c>
      <c r="Y40" s="11">
        <f t="shared" si="1"/>
        <v>57617</v>
      </c>
      <c r="Z40" s="11">
        <f t="shared" si="2"/>
        <v>-6.7199999997683335E-2</v>
      </c>
      <c r="AA40" s="11"/>
      <c r="AB40" s="11"/>
      <c r="AC40" s="11">
        <v>1200000</v>
      </c>
      <c r="AD40" s="11">
        <v>1200000</v>
      </c>
      <c r="AE40" s="11">
        <f t="shared" si="16"/>
        <v>0.83308842847670639</v>
      </c>
      <c r="AF40" s="11"/>
      <c r="AG40" s="11"/>
      <c r="AH40" s="11">
        <v>1145710</v>
      </c>
      <c r="AI40" s="11"/>
      <c r="AJ40" s="11"/>
      <c r="AK40" s="11"/>
      <c r="AL40" s="11">
        <f t="shared" si="4"/>
        <v>1145710</v>
      </c>
      <c r="AM40" s="11"/>
      <c r="AN40" s="11">
        <v>52719.49</v>
      </c>
      <c r="AO40" s="11">
        <v>52719.49</v>
      </c>
      <c r="AP40" s="11">
        <f t="shared" si="5"/>
        <v>52719.49</v>
      </c>
      <c r="AQ40" s="11">
        <f t="shared" si="6"/>
        <v>0</v>
      </c>
      <c r="AR40" s="11"/>
      <c r="AS40" s="11"/>
      <c r="AT40" s="11"/>
    </row>
    <row r="41" spans="1:46" x14ac:dyDescent="0.15">
      <c r="A41" s="54" t="s">
        <v>725</v>
      </c>
      <c r="B41" s="11" t="s">
        <v>564</v>
      </c>
      <c r="C41" s="11" t="s">
        <v>741</v>
      </c>
      <c r="D41" s="11" t="s">
        <v>742</v>
      </c>
      <c r="E41" s="11" t="s">
        <v>548</v>
      </c>
      <c r="F41" s="11" t="s">
        <v>743</v>
      </c>
      <c r="G41" s="11" t="s">
        <v>744</v>
      </c>
      <c r="H41" s="11" t="s">
        <v>745</v>
      </c>
      <c r="I41" s="11" t="s">
        <v>570</v>
      </c>
      <c r="J41" s="11" t="s">
        <v>571</v>
      </c>
      <c r="K41" s="11" t="s">
        <v>719</v>
      </c>
      <c r="L41" s="11"/>
      <c r="M41" s="11">
        <v>710641.6</v>
      </c>
      <c r="N41" s="11"/>
      <c r="O41" s="11"/>
      <c r="P41" s="11"/>
      <c r="Q41" s="11"/>
      <c r="R41" s="11"/>
      <c r="S41" s="11"/>
      <c r="T41" s="11" t="s">
        <v>526</v>
      </c>
      <c r="U41" s="11" t="s">
        <v>600</v>
      </c>
      <c r="V41" s="11">
        <v>3.5999999999999997E-2</v>
      </c>
      <c r="W41" s="11">
        <f t="shared" si="7"/>
        <v>25583.097599999997</v>
      </c>
      <c r="X41" s="11">
        <v>25583.1</v>
      </c>
      <c r="Y41" s="11">
        <f t="shared" si="1"/>
        <v>25583.1</v>
      </c>
      <c r="Z41" s="11">
        <f t="shared" si="2"/>
        <v>-2.4000000012165401E-3</v>
      </c>
      <c r="AA41" s="11"/>
      <c r="AB41" s="11"/>
      <c r="AC41" s="11">
        <v>0</v>
      </c>
      <c r="AD41" s="11">
        <v>0</v>
      </c>
      <c r="AE41" s="11">
        <f t="shared" si="16"/>
        <v>0</v>
      </c>
      <c r="AF41" s="11"/>
      <c r="AG41" s="11"/>
      <c r="AH41" s="11"/>
      <c r="AI41" s="11"/>
      <c r="AJ41" s="11"/>
      <c r="AK41" s="11"/>
      <c r="AL41" s="11">
        <f t="shared" si="4"/>
        <v>0</v>
      </c>
      <c r="AM41" s="11"/>
      <c r="AN41" s="11">
        <f t="shared" ref="AN41:AN52" si="17">M41*AM41</f>
        <v>0</v>
      </c>
      <c r="AO41" s="11"/>
      <c r="AP41" s="11">
        <f t="shared" si="5"/>
        <v>0</v>
      </c>
      <c r="AQ41" s="11">
        <f t="shared" si="6"/>
        <v>0</v>
      </c>
      <c r="AR41" s="11"/>
      <c r="AS41" s="11"/>
      <c r="AT41" s="11"/>
    </row>
    <row r="42" spans="1:46" x14ac:dyDescent="0.15">
      <c r="A42" s="54" t="s">
        <v>725</v>
      </c>
      <c r="B42" s="11" t="s">
        <v>532</v>
      </c>
      <c r="C42" s="11" t="s">
        <v>746</v>
      </c>
      <c r="D42" s="11" t="s">
        <v>747</v>
      </c>
      <c r="E42" s="11" t="s">
        <v>548</v>
      </c>
      <c r="F42" s="11" t="s">
        <v>748</v>
      </c>
      <c r="G42" s="11" t="s">
        <v>749</v>
      </c>
      <c r="H42" s="11" t="s">
        <v>730</v>
      </c>
      <c r="I42" s="11" t="s">
        <v>724</v>
      </c>
      <c r="J42" s="11" t="s">
        <v>730</v>
      </c>
      <c r="K42" s="11" t="s">
        <v>526</v>
      </c>
      <c r="L42" s="11"/>
      <c r="M42" s="11">
        <v>4036583.48</v>
      </c>
      <c r="N42" s="11"/>
      <c r="O42" s="11"/>
      <c r="P42" s="11"/>
      <c r="Q42" s="11"/>
      <c r="R42" s="11"/>
      <c r="S42" s="11"/>
      <c r="T42" s="11" t="s">
        <v>526</v>
      </c>
      <c r="U42" s="11" t="s">
        <v>600</v>
      </c>
      <c r="V42" s="11">
        <v>3.5999999999999997E-2</v>
      </c>
      <c r="W42" s="11">
        <f t="shared" si="7"/>
        <v>145317.00527999998</v>
      </c>
      <c r="X42" s="11">
        <v>145317</v>
      </c>
      <c r="Y42" s="11">
        <f t="shared" si="1"/>
        <v>145317</v>
      </c>
      <c r="Z42" s="11">
        <f t="shared" si="2"/>
        <v>5.2799999830313027E-3</v>
      </c>
      <c r="AA42" s="11"/>
      <c r="AB42" s="11"/>
      <c r="AC42" s="11">
        <v>3478419.92</v>
      </c>
      <c r="AD42" s="11">
        <v>3478419.92</v>
      </c>
      <c r="AE42" s="11">
        <f t="shared" si="16"/>
        <v>0.86172376645608229</v>
      </c>
      <c r="AF42" s="11"/>
      <c r="AG42" s="11"/>
      <c r="AH42" s="11">
        <v>3359296.75</v>
      </c>
      <c r="AI42" s="11"/>
      <c r="AJ42" s="11"/>
      <c r="AK42" s="11"/>
      <c r="AL42" s="11">
        <f t="shared" si="4"/>
        <v>3359296.75</v>
      </c>
      <c r="AM42" s="11">
        <v>3.4000000000000002E-2</v>
      </c>
      <c r="AN42" s="11">
        <f t="shared" si="17"/>
        <v>137243.83832000001</v>
      </c>
      <c r="AO42" s="11">
        <v>118235.4</v>
      </c>
      <c r="AP42" s="11">
        <f t="shared" si="5"/>
        <v>118235.4</v>
      </c>
      <c r="AQ42" s="11">
        <f t="shared" si="6"/>
        <v>19008.438320000016</v>
      </c>
      <c r="AR42" s="11"/>
      <c r="AS42" s="11"/>
      <c r="AT42" s="11"/>
    </row>
    <row r="43" spans="1:46" x14ac:dyDescent="0.15">
      <c r="A43" s="54" t="s">
        <v>725</v>
      </c>
      <c r="B43" s="11" t="s">
        <v>682</v>
      </c>
      <c r="C43" s="11" t="s">
        <v>750</v>
      </c>
      <c r="D43" s="11" t="s">
        <v>751</v>
      </c>
      <c r="E43" s="11" t="s">
        <v>548</v>
      </c>
      <c r="F43" s="11" t="s">
        <v>752</v>
      </c>
      <c r="G43" s="11" t="s">
        <v>753</v>
      </c>
      <c r="H43" s="11" t="s">
        <v>687</v>
      </c>
      <c r="I43" s="11" t="s">
        <v>699</v>
      </c>
      <c r="J43" s="11" t="s">
        <v>754</v>
      </c>
      <c r="K43" s="11" t="s">
        <v>526</v>
      </c>
      <c r="L43" s="11"/>
      <c r="M43" s="11">
        <v>1236415</v>
      </c>
      <c r="N43" s="11"/>
      <c r="O43" s="11"/>
      <c r="P43" s="11"/>
      <c r="Q43" s="11"/>
      <c r="R43" s="11"/>
      <c r="S43" s="11"/>
      <c r="T43" s="11" t="s">
        <v>526</v>
      </c>
      <c r="U43" s="11" t="s">
        <v>600</v>
      </c>
      <c r="V43" s="11">
        <v>0.04</v>
      </c>
      <c r="W43" s="11">
        <f t="shared" si="7"/>
        <v>49456.6</v>
      </c>
      <c r="X43" s="11">
        <v>47920</v>
      </c>
      <c r="Y43" s="11">
        <f t="shared" si="1"/>
        <v>47920</v>
      </c>
      <c r="Z43" s="11">
        <f t="shared" si="2"/>
        <v>1536.5999999999985</v>
      </c>
      <c r="AA43" s="11"/>
      <c r="AB43" s="11"/>
      <c r="AC43" s="11">
        <v>936915</v>
      </c>
      <c r="AD43" s="11">
        <v>936915</v>
      </c>
      <c r="AE43" s="11">
        <f t="shared" si="16"/>
        <v>0.75776741628013244</v>
      </c>
      <c r="AF43" s="11"/>
      <c r="AG43" s="11"/>
      <c r="AH43" s="11">
        <v>859342.86</v>
      </c>
      <c r="AI43" s="11"/>
      <c r="AJ43" s="11"/>
      <c r="AK43" s="11"/>
      <c r="AL43" s="11">
        <f t="shared" si="4"/>
        <v>859342.86</v>
      </c>
      <c r="AM43" s="11">
        <v>3.4000000000000002E-2</v>
      </c>
      <c r="AN43" s="11">
        <f t="shared" si="17"/>
        <v>42038.11</v>
      </c>
      <c r="AO43" s="11">
        <v>31855.31</v>
      </c>
      <c r="AP43" s="11">
        <f t="shared" si="5"/>
        <v>31855.31</v>
      </c>
      <c r="AQ43" s="11">
        <f t="shared" si="6"/>
        <v>10182.799999999999</v>
      </c>
      <c r="AR43" s="11"/>
      <c r="AS43" s="11"/>
      <c r="AT43" s="11"/>
    </row>
    <row r="44" spans="1:46" x14ac:dyDescent="0.15">
      <c r="A44" s="54" t="s">
        <v>725</v>
      </c>
      <c r="B44" s="11" t="s">
        <v>734</v>
      </c>
      <c r="C44" s="11" t="s">
        <v>755</v>
      </c>
      <c r="D44" s="11" t="s">
        <v>756</v>
      </c>
      <c r="E44" s="11" t="s">
        <v>548</v>
      </c>
      <c r="F44" s="11" t="s">
        <v>757</v>
      </c>
      <c r="G44" s="11" t="s">
        <v>758</v>
      </c>
      <c r="H44" s="11" t="s">
        <v>738</v>
      </c>
      <c r="I44" s="11" t="s">
        <v>739</v>
      </c>
      <c r="J44" s="11" t="s">
        <v>738</v>
      </c>
      <c r="K44" s="11" t="s">
        <v>572</v>
      </c>
      <c r="L44" s="11"/>
      <c r="M44" s="11">
        <v>1674815</v>
      </c>
      <c r="N44" s="11"/>
      <c r="O44" s="11"/>
      <c r="P44" s="11"/>
      <c r="Q44" s="11"/>
      <c r="R44" s="11"/>
      <c r="S44" s="11"/>
      <c r="T44" s="11" t="s">
        <v>526</v>
      </c>
      <c r="U44" s="11" t="s">
        <v>600</v>
      </c>
      <c r="V44" s="11">
        <v>0.04</v>
      </c>
      <c r="W44" s="11">
        <f t="shared" si="7"/>
        <v>66992.600000000006</v>
      </c>
      <c r="X44" s="11">
        <v>66993</v>
      </c>
      <c r="Y44" s="11">
        <f t="shared" si="1"/>
        <v>66993</v>
      </c>
      <c r="Z44" s="11">
        <f t="shared" si="2"/>
        <v>-0.39999999999417923</v>
      </c>
      <c r="AA44" s="11"/>
      <c r="AB44" s="11"/>
      <c r="AC44" s="11">
        <v>1300000</v>
      </c>
      <c r="AD44" s="11">
        <v>1300000</v>
      </c>
      <c r="AE44" s="11">
        <f t="shared" si="16"/>
        <v>0.77620513310425332</v>
      </c>
      <c r="AF44" s="11"/>
      <c r="AG44" s="11"/>
      <c r="AH44" s="11">
        <v>1233232.5</v>
      </c>
      <c r="AI44" s="11"/>
      <c r="AJ44" s="11"/>
      <c r="AK44" s="11"/>
      <c r="AL44" s="11">
        <f t="shared" si="4"/>
        <v>1233232.5</v>
      </c>
      <c r="AM44" s="11">
        <v>3.6600000000000001E-2</v>
      </c>
      <c r="AN44" s="11">
        <f t="shared" si="17"/>
        <v>61298.228999999999</v>
      </c>
      <c r="AO44" s="11">
        <v>61298.23</v>
      </c>
      <c r="AP44" s="11">
        <f t="shared" si="5"/>
        <v>61298.23</v>
      </c>
      <c r="AQ44" s="11">
        <f t="shared" si="6"/>
        <v>-1.0000000038417056E-3</v>
      </c>
      <c r="AR44" s="11"/>
      <c r="AS44" s="11"/>
      <c r="AT44" s="11"/>
    </row>
    <row r="45" spans="1:46" x14ac:dyDescent="0.15">
      <c r="A45" s="54" t="s">
        <v>725</v>
      </c>
      <c r="B45" s="11" t="s">
        <v>759</v>
      </c>
      <c r="C45" s="11" t="s">
        <v>334</v>
      </c>
      <c r="D45" s="11" t="s">
        <v>760</v>
      </c>
      <c r="E45" s="11" t="s">
        <v>548</v>
      </c>
      <c r="F45" s="11" t="s">
        <v>761</v>
      </c>
      <c r="G45" s="11" t="s">
        <v>762</v>
      </c>
      <c r="H45" s="11" t="s">
        <v>763</v>
      </c>
      <c r="I45" s="11" t="s">
        <v>764</v>
      </c>
      <c r="J45" s="11" t="s">
        <v>765</v>
      </c>
      <c r="K45" s="11" t="s">
        <v>572</v>
      </c>
      <c r="L45" s="11"/>
      <c r="M45" s="11">
        <v>260000</v>
      </c>
      <c r="N45" s="11"/>
      <c r="O45" s="11"/>
      <c r="P45" s="11"/>
      <c r="Q45" s="11"/>
      <c r="R45" s="11"/>
      <c r="S45" s="11"/>
      <c r="T45" s="11" t="s">
        <v>526</v>
      </c>
      <c r="U45" s="11" t="s">
        <v>600</v>
      </c>
      <c r="V45" s="11">
        <v>8.5999999999999993E-2</v>
      </c>
      <c r="W45" s="11">
        <f t="shared" si="7"/>
        <v>22360</v>
      </c>
      <c r="X45" s="11">
        <v>22360</v>
      </c>
      <c r="Y45" s="11">
        <f t="shared" si="1"/>
        <v>22360</v>
      </c>
      <c r="Z45" s="11">
        <f t="shared" si="2"/>
        <v>0</v>
      </c>
      <c r="AA45" s="11"/>
      <c r="AB45" s="11"/>
      <c r="AC45" s="11">
        <v>182000</v>
      </c>
      <c r="AD45" s="11">
        <v>182000</v>
      </c>
      <c r="AE45" s="11">
        <f t="shared" si="16"/>
        <v>0.7</v>
      </c>
      <c r="AF45" s="11"/>
      <c r="AG45" s="11"/>
      <c r="AH45" s="11">
        <v>182000</v>
      </c>
      <c r="AI45" s="11"/>
      <c r="AJ45" s="11"/>
      <c r="AK45" s="11"/>
      <c r="AL45" s="11">
        <f t="shared" si="4"/>
        <v>182000</v>
      </c>
      <c r="AM45" s="11">
        <v>3.4000000000000002E-2</v>
      </c>
      <c r="AN45" s="11">
        <f t="shared" si="17"/>
        <v>8840</v>
      </c>
      <c r="AO45" s="11"/>
      <c r="AP45" s="11">
        <f t="shared" si="5"/>
        <v>0</v>
      </c>
      <c r="AQ45" s="11">
        <f t="shared" si="6"/>
        <v>8840</v>
      </c>
      <c r="AR45" s="11"/>
      <c r="AS45" s="11"/>
      <c r="AT45" s="11"/>
    </row>
    <row r="46" spans="1:46" x14ac:dyDescent="0.15">
      <c r="A46" s="54" t="s">
        <v>725</v>
      </c>
      <c r="B46" s="11" t="s">
        <v>564</v>
      </c>
      <c r="C46" s="11" t="s">
        <v>310</v>
      </c>
      <c r="D46" s="11" t="s">
        <v>766</v>
      </c>
      <c r="E46" s="11" t="s">
        <v>548</v>
      </c>
      <c r="F46" s="11" t="s">
        <v>767</v>
      </c>
      <c r="G46" s="11" t="s">
        <v>768</v>
      </c>
      <c r="H46" s="11" t="s">
        <v>571</v>
      </c>
      <c r="I46" s="11" t="s">
        <v>570</v>
      </c>
      <c r="J46" s="11" t="s">
        <v>571</v>
      </c>
      <c r="K46" s="11" t="s">
        <v>526</v>
      </c>
      <c r="L46" s="11"/>
      <c r="M46" s="11">
        <v>1042588.3</v>
      </c>
      <c r="N46" s="11"/>
      <c r="O46" s="11"/>
      <c r="P46" s="11"/>
      <c r="Q46" s="11"/>
      <c r="R46" s="11"/>
      <c r="S46" s="11"/>
      <c r="T46" s="11" t="s">
        <v>526</v>
      </c>
      <c r="U46" s="11" t="s">
        <v>600</v>
      </c>
      <c r="V46" s="11">
        <v>3.5999999999999997E-2</v>
      </c>
      <c r="W46" s="11">
        <f t="shared" si="7"/>
        <v>37533.178800000002</v>
      </c>
      <c r="X46" s="11">
        <v>2892.48</v>
      </c>
      <c r="Y46" s="11">
        <f t="shared" si="1"/>
        <v>2892.48</v>
      </c>
      <c r="Z46" s="11">
        <f t="shared" si="2"/>
        <v>34640.698799999998</v>
      </c>
      <c r="AA46" s="11"/>
      <c r="AB46" s="11"/>
      <c r="AC46" s="11">
        <v>300000</v>
      </c>
      <c r="AD46" s="11">
        <v>300000</v>
      </c>
      <c r="AE46" s="11">
        <f t="shared" si="16"/>
        <v>0.28774541206725607</v>
      </c>
      <c r="AF46" s="11"/>
      <c r="AG46" s="11"/>
      <c r="AH46" s="11">
        <v>289800</v>
      </c>
      <c r="AI46" s="11"/>
      <c r="AJ46" s="11"/>
      <c r="AK46" s="11"/>
      <c r="AL46" s="11">
        <f t="shared" si="4"/>
        <v>289800</v>
      </c>
      <c r="AM46" s="11">
        <v>3.4000000000000002E-2</v>
      </c>
      <c r="AN46" s="11">
        <f t="shared" si="17"/>
        <v>35448.002200000003</v>
      </c>
      <c r="AO46" s="11">
        <v>10200</v>
      </c>
      <c r="AP46" s="11">
        <f t="shared" si="5"/>
        <v>10200</v>
      </c>
      <c r="AQ46" s="11">
        <f t="shared" si="6"/>
        <v>25248.002200000003</v>
      </c>
      <c r="AR46" s="11"/>
      <c r="AS46" s="11"/>
      <c r="AT46" s="11"/>
    </row>
    <row r="47" spans="1:46" x14ac:dyDescent="0.15">
      <c r="A47" s="54" t="s">
        <v>725</v>
      </c>
      <c r="B47" s="11" t="s">
        <v>631</v>
      </c>
      <c r="C47" s="11" t="s">
        <v>320</v>
      </c>
      <c r="D47" s="11" t="s">
        <v>769</v>
      </c>
      <c r="E47" s="11" t="s">
        <v>548</v>
      </c>
      <c r="F47" s="11" t="s">
        <v>770</v>
      </c>
      <c r="G47" s="11" t="s">
        <v>771</v>
      </c>
      <c r="H47" s="11" t="s">
        <v>636</v>
      </c>
      <c r="I47" s="11" t="s">
        <v>637</v>
      </c>
      <c r="J47" s="11" t="s">
        <v>636</v>
      </c>
      <c r="K47" s="11" t="s">
        <v>572</v>
      </c>
      <c r="L47" s="11"/>
      <c r="M47" s="11">
        <v>3480350</v>
      </c>
      <c r="N47" s="11"/>
      <c r="O47" s="11"/>
      <c r="P47" s="11"/>
      <c r="Q47" s="11"/>
      <c r="R47" s="11"/>
      <c r="S47" s="11"/>
      <c r="T47" s="11" t="s">
        <v>526</v>
      </c>
      <c r="U47" s="11" t="s">
        <v>600</v>
      </c>
      <c r="V47" s="11">
        <v>3.5999999999999997E-2</v>
      </c>
      <c r="W47" s="11">
        <f t="shared" si="7"/>
        <v>125292.59999999999</v>
      </c>
      <c r="X47" s="11">
        <v>125292.6</v>
      </c>
      <c r="Y47" s="11">
        <f t="shared" si="1"/>
        <v>125292.6</v>
      </c>
      <c r="Z47" s="11">
        <f t="shared" si="2"/>
        <v>0</v>
      </c>
      <c r="AA47" s="11"/>
      <c r="AB47" s="11"/>
      <c r="AC47" s="11">
        <v>1563875.12</v>
      </c>
      <c r="AD47" s="11">
        <v>1563875.12</v>
      </c>
      <c r="AE47" s="11">
        <f t="shared" si="16"/>
        <v>0.44934420963408855</v>
      </c>
      <c r="AF47" s="11"/>
      <c r="AG47" s="11"/>
      <c r="AH47" s="11">
        <v>1596613.91</v>
      </c>
      <c r="AI47" s="11"/>
      <c r="AJ47" s="11"/>
      <c r="AK47" s="11"/>
      <c r="AL47" s="11">
        <f t="shared" si="4"/>
        <v>1596613.91</v>
      </c>
      <c r="AM47" s="11">
        <v>3.4000000000000002E-2</v>
      </c>
      <c r="AN47" s="11">
        <f t="shared" si="17"/>
        <v>118331.90000000001</v>
      </c>
      <c r="AO47" s="11">
        <v>51187.45</v>
      </c>
      <c r="AP47" s="11">
        <f t="shared" si="5"/>
        <v>51187.45</v>
      </c>
      <c r="AQ47" s="11">
        <f t="shared" si="6"/>
        <v>67144.450000000012</v>
      </c>
      <c r="AR47" s="11"/>
      <c r="AS47" s="11"/>
      <c r="AT47" s="11"/>
    </row>
    <row r="48" spans="1:46" x14ac:dyDescent="0.15">
      <c r="A48" s="54" t="s">
        <v>725</v>
      </c>
      <c r="B48" s="11" t="s">
        <v>759</v>
      </c>
      <c r="C48" s="11" t="s">
        <v>332</v>
      </c>
      <c r="D48" s="11" t="s">
        <v>772</v>
      </c>
      <c r="E48" s="11" t="s">
        <v>548</v>
      </c>
      <c r="F48" s="11" t="s">
        <v>773</v>
      </c>
      <c r="G48" s="11" t="s">
        <v>774</v>
      </c>
      <c r="H48" s="11" t="s">
        <v>763</v>
      </c>
      <c r="I48" s="11" t="s">
        <v>764</v>
      </c>
      <c r="J48" s="11" t="s">
        <v>775</v>
      </c>
      <c r="K48" s="11" t="s">
        <v>572</v>
      </c>
      <c r="L48" s="11"/>
      <c r="M48" s="11">
        <v>50000</v>
      </c>
      <c r="N48" s="11"/>
      <c r="O48" s="11"/>
      <c r="P48" s="11"/>
      <c r="Q48" s="11"/>
      <c r="R48" s="11"/>
      <c r="S48" s="11"/>
      <c r="T48" s="11" t="s">
        <v>526</v>
      </c>
      <c r="U48" s="11" t="s">
        <v>600</v>
      </c>
      <c r="V48" s="11">
        <v>8.5999999999999993E-2</v>
      </c>
      <c r="W48" s="11">
        <f t="shared" si="7"/>
        <v>4300</v>
      </c>
      <c r="X48" s="11">
        <v>4300</v>
      </c>
      <c r="Y48" s="11">
        <f t="shared" si="1"/>
        <v>4300</v>
      </c>
      <c r="Z48" s="11">
        <f t="shared" si="2"/>
        <v>0</v>
      </c>
      <c r="AA48" s="11"/>
      <c r="AB48" s="11"/>
      <c r="AC48" s="11">
        <v>40000</v>
      </c>
      <c r="AD48" s="11">
        <v>40000</v>
      </c>
      <c r="AE48" s="11">
        <f t="shared" si="16"/>
        <v>0.8</v>
      </c>
      <c r="AF48" s="11"/>
      <c r="AG48" s="11"/>
      <c r="AH48" s="11">
        <v>40000</v>
      </c>
      <c r="AI48" s="11"/>
      <c r="AJ48" s="11"/>
      <c r="AK48" s="11"/>
      <c r="AL48" s="11">
        <f t="shared" si="4"/>
        <v>40000</v>
      </c>
      <c r="AM48" s="11">
        <v>3.4000000000000002E-2</v>
      </c>
      <c r="AN48" s="11">
        <f t="shared" si="17"/>
        <v>1700.0000000000002</v>
      </c>
      <c r="AO48" s="11">
        <v>1360</v>
      </c>
      <c r="AP48" s="11">
        <f t="shared" si="5"/>
        <v>1360</v>
      </c>
      <c r="AQ48" s="11">
        <f t="shared" si="6"/>
        <v>340.00000000000023</v>
      </c>
      <c r="AR48" s="11"/>
      <c r="AS48" s="11"/>
      <c r="AT48" s="11"/>
    </row>
    <row r="49" spans="1:46" x14ac:dyDescent="0.15">
      <c r="A49" s="54" t="s">
        <v>725</v>
      </c>
      <c r="B49" s="11" t="s">
        <v>776</v>
      </c>
      <c r="C49" s="11" t="s">
        <v>314</v>
      </c>
      <c r="D49" s="11" t="s">
        <v>777</v>
      </c>
      <c r="E49" s="11" t="s">
        <v>548</v>
      </c>
      <c r="F49" s="11" t="s">
        <v>778</v>
      </c>
      <c r="G49" s="11" t="s">
        <v>779</v>
      </c>
      <c r="H49" s="11" t="s">
        <v>780</v>
      </c>
      <c r="I49" s="11" t="s">
        <v>781</v>
      </c>
      <c r="J49" s="11" t="s">
        <v>782</v>
      </c>
      <c r="K49" s="11" t="s">
        <v>526</v>
      </c>
      <c r="L49" s="11"/>
      <c r="M49" s="11">
        <v>1976165.98</v>
      </c>
      <c r="N49" s="11"/>
      <c r="O49" s="11"/>
      <c r="P49" s="11"/>
      <c r="Q49" s="11"/>
      <c r="R49" s="11"/>
      <c r="S49" s="11"/>
      <c r="T49" s="11" t="s">
        <v>526</v>
      </c>
      <c r="U49" s="11" t="s">
        <v>600</v>
      </c>
      <c r="V49" s="11">
        <v>3.5999999999999997E-2</v>
      </c>
      <c r="W49" s="11">
        <f t="shared" si="7"/>
        <v>71141.975279999999</v>
      </c>
      <c r="X49" s="11"/>
      <c r="Y49" s="11">
        <f t="shared" si="1"/>
        <v>0</v>
      </c>
      <c r="Z49" s="11">
        <f t="shared" si="2"/>
        <v>71141.975279999999</v>
      </c>
      <c r="AA49" s="11"/>
      <c r="AB49" s="11"/>
      <c r="AC49" s="11">
        <v>1585970</v>
      </c>
      <c r="AD49" s="11">
        <v>1585970</v>
      </c>
      <c r="AE49" s="11">
        <f t="shared" si="16"/>
        <v>0.80254898427104793</v>
      </c>
      <c r="AF49" s="11"/>
      <c r="AG49" s="11"/>
      <c r="AH49" s="11">
        <v>1529184.12</v>
      </c>
      <c r="AI49" s="11"/>
      <c r="AJ49" s="11"/>
      <c r="AK49" s="11"/>
      <c r="AL49" s="11">
        <f t="shared" si="4"/>
        <v>1529184.12</v>
      </c>
      <c r="AM49" s="11">
        <v>3.4000000000000002E-2</v>
      </c>
      <c r="AN49" s="11">
        <f t="shared" si="17"/>
        <v>67189.643320000003</v>
      </c>
      <c r="AO49" s="11">
        <v>33594.800000000003</v>
      </c>
      <c r="AP49" s="11">
        <f t="shared" si="5"/>
        <v>33594.800000000003</v>
      </c>
      <c r="AQ49" s="11">
        <f t="shared" si="6"/>
        <v>33594.84332</v>
      </c>
      <c r="AR49" s="11"/>
      <c r="AS49" s="11"/>
      <c r="AT49" s="11"/>
    </row>
    <row r="50" spans="1:46" x14ac:dyDescent="0.15">
      <c r="A50" s="54" t="s">
        <v>725</v>
      </c>
      <c r="B50" s="11" t="s">
        <v>759</v>
      </c>
      <c r="C50" s="11" t="s">
        <v>326</v>
      </c>
      <c r="D50" s="11" t="s">
        <v>783</v>
      </c>
      <c r="E50" s="11" t="s">
        <v>548</v>
      </c>
      <c r="F50" s="11" t="s">
        <v>784</v>
      </c>
      <c r="G50" s="11" t="s">
        <v>785</v>
      </c>
      <c r="H50" s="11" t="s">
        <v>786</v>
      </c>
      <c r="I50" s="11" t="s">
        <v>787</v>
      </c>
      <c r="J50" s="11" t="s">
        <v>775</v>
      </c>
      <c r="K50" s="11" t="s">
        <v>572</v>
      </c>
      <c r="L50" s="11"/>
      <c r="M50" s="11">
        <v>600000</v>
      </c>
      <c r="N50" s="11"/>
      <c r="O50" s="11"/>
      <c r="P50" s="11"/>
      <c r="Q50" s="11"/>
      <c r="R50" s="11"/>
      <c r="S50" s="11"/>
      <c r="T50" s="11" t="s">
        <v>526</v>
      </c>
      <c r="U50" s="11" t="s">
        <v>600</v>
      </c>
      <c r="V50" s="11">
        <v>8.5999999999999993E-2</v>
      </c>
      <c r="W50" s="11">
        <f t="shared" si="7"/>
        <v>51599.999999999993</v>
      </c>
      <c r="X50" s="11">
        <v>25800</v>
      </c>
      <c r="Y50" s="11">
        <f t="shared" si="1"/>
        <v>25800</v>
      </c>
      <c r="Z50" s="11">
        <f t="shared" si="2"/>
        <v>25799.999999999993</v>
      </c>
      <c r="AA50" s="11"/>
      <c r="AB50" s="11"/>
      <c r="AC50" s="11">
        <v>120000</v>
      </c>
      <c r="AD50" s="11">
        <v>120000</v>
      </c>
      <c r="AE50" s="11">
        <f t="shared" si="16"/>
        <v>0.2</v>
      </c>
      <c r="AF50" s="11"/>
      <c r="AG50" s="11"/>
      <c r="AH50" s="11">
        <v>120000</v>
      </c>
      <c r="AI50" s="11"/>
      <c r="AJ50" s="11"/>
      <c r="AK50" s="11"/>
      <c r="AL50" s="11">
        <f t="shared" si="4"/>
        <v>120000</v>
      </c>
      <c r="AM50" s="11">
        <v>3.4000000000000002E-2</v>
      </c>
      <c r="AN50" s="11">
        <f t="shared" si="17"/>
        <v>20400</v>
      </c>
      <c r="AO50" s="11">
        <v>4080</v>
      </c>
      <c r="AP50" s="11">
        <f t="shared" si="5"/>
        <v>4080</v>
      </c>
      <c r="AQ50" s="11">
        <f t="shared" si="6"/>
        <v>16320</v>
      </c>
      <c r="AR50" s="11"/>
      <c r="AS50" s="11"/>
      <c r="AT50" s="11"/>
    </row>
    <row r="51" spans="1:46" x14ac:dyDescent="0.15">
      <c r="A51" s="54" t="s">
        <v>788</v>
      </c>
      <c r="B51" s="11" t="s">
        <v>532</v>
      </c>
      <c r="C51" s="11" t="s">
        <v>789</v>
      </c>
      <c r="D51" s="11" t="s">
        <v>790</v>
      </c>
      <c r="E51" s="11" t="s">
        <v>548</v>
      </c>
      <c r="F51" s="11" t="s">
        <v>791</v>
      </c>
      <c r="G51" s="11" t="s">
        <v>792</v>
      </c>
      <c r="H51" s="11" t="s">
        <v>539</v>
      </c>
      <c r="I51" s="11" t="s">
        <v>592</v>
      </c>
      <c r="J51" s="11" t="s">
        <v>539</v>
      </c>
      <c r="K51" s="11" t="s">
        <v>526</v>
      </c>
      <c r="L51" s="11"/>
      <c r="M51" s="11">
        <v>8084018.7400000002</v>
      </c>
      <c r="N51" s="11"/>
      <c r="O51" s="11"/>
      <c r="P51" s="11"/>
      <c r="Q51" s="11"/>
      <c r="R51" s="11"/>
      <c r="S51" s="11"/>
      <c r="T51" s="11" t="s">
        <v>526</v>
      </c>
      <c r="U51" s="11" t="s">
        <v>600</v>
      </c>
      <c r="V51" s="11">
        <v>0.03</v>
      </c>
      <c r="W51" s="11">
        <f t="shared" si="7"/>
        <v>242520.56219999999</v>
      </c>
      <c r="X51" s="11">
        <v>121260</v>
      </c>
      <c r="Y51" s="11">
        <f t="shared" si="1"/>
        <v>121260</v>
      </c>
      <c r="Z51" s="11">
        <f t="shared" si="2"/>
        <v>121260.56219999999</v>
      </c>
      <c r="AA51" s="11"/>
      <c r="AB51" s="11"/>
      <c r="AC51" s="11">
        <v>1578401</v>
      </c>
      <c r="AD51" s="11">
        <v>1578401</v>
      </c>
      <c r="AE51" s="11">
        <f t="shared" si="16"/>
        <v>0.19524954738044062</v>
      </c>
      <c r="AF51" s="11"/>
      <c r="AG51" s="11"/>
      <c r="AH51" s="11">
        <v>1516729</v>
      </c>
      <c r="AI51" s="11"/>
      <c r="AJ51" s="11"/>
      <c r="AK51" s="11"/>
      <c r="AL51" s="11">
        <f t="shared" si="4"/>
        <v>1516729</v>
      </c>
      <c r="AM51" s="11">
        <v>3.4000000000000002E-2</v>
      </c>
      <c r="AN51" s="11">
        <f t="shared" si="17"/>
        <v>274856.63716000004</v>
      </c>
      <c r="AO51" s="11">
        <v>53665.63</v>
      </c>
      <c r="AP51" s="11">
        <f t="shared" si="5"/>
        <v>53665.63</v>
      </c>
      <c r="AQ51" s="11">
        <f t="shared" si="6"/>
        <v>221191.00716000004</v>
      </c>
      <c r="AR51" s="11"/>
      <c r="AS51" s="11"/>
      <c r="AT51" s="11"/>
    </row>
    <row r="52" spans="1:46" x14ac:dyDescent="0.15">
      <c r="A52" s="54" t="s">
        <v>793</v>
      </c>
      <c r="B52" s="11" t="s">
        <v>532</v>
      </c>
      <c r="C52" s="11" t="s">
        <v>794</v>
      </c>
      <c r="D52" s="11" t="s">
        <v>795</v>
      </c>
      <c r="E52" s="11" t="s">
        <v>548</v>
      </c>
      <c r="F52" s="11" t="s">
        <v>796</v>
      </c>
      <c r="G52" s="11" t="s">
        <v>797</v>
      </c>
      <c r="H52" s="11" t="s">
        <v>539</v>
      </c>
      <c r="I52" s="11" t="s">
        <v>592</v>
      </c>
      <c r="J52" s="11" t="s">
        <v>539</v>
      </c>
      <c r="K52" s="11" t="s">
        <v>526</v>
      </c>
      <c r="L52" s="11"/>
      <c r="M52" s="11">
        <v>2915737.56</v>
      </c>
      <c r="N52" s="11"/>
      <c r="O52" s="11"/>
      <c r="P52" s="11"/>
      <c r="Q52" s="11"/>
      <c r="R52" s="11"/>
      <c r="S52" s="11"/>
      <c r="T52" s="11" t="s">
        <v>700</v>
      </c>
      <c r="U52" s="11" t="s">
        <v>710</v>
      </c>
      <c r="V52" s="11">
        <v>3.5999999999999997E-2</v>
      </c>
      <c r="W52" s="11">
        <f t="shared" si="7"/>
        <v>104966.55215999999</v>
      </c>
      <c r="X52" s="11">
        <v>97955.71</v>
      </c>
      <c r="Y52" s="11">
        <f t="shared" si="1"/>
        <v>97955.71</v>
      </c>
      <c r="Z52" s="11">
        <f t="shared" si="2"/>
        <v>7010.8421599999856</v>
      </c>
      <c r="AA52" s="11"/>
      <c r="AB52" s="11"/>
      <c r="AC52" s="11">
        <v>1360496</v>
      </c>
      <c r="AD52" s="11">
        <v>1360496</v>
      </c>
      <c r="AE52" s="11">
        <f t="shared" si="16"/>
        <v>0.4666044086628976</v>
      </c>
      <c r="AF52" s="11"/>
      <c r="AG52" s="11"/>
      <c r="AH52" s="11">
        <v>1145067.95</v>
      </c>
      <c r="AI52" s="11"/>
      <c r="AJ52" s="11"/>
      <c r="AK52" s="11"/>
      <c r="AL52" s="11">
        <f t="shared" si="4"/>
        <v>1145067.95</v>
      </c>
      <c r="AM52" s="11">
        <v>3.4000000000000002E-2</v>
      </c>
      <c r="AN52" s="11">
        <f t="shared" si="17"/>
        <v>99135.077040000004</v>
      </c>
      <c r="AO52" s="11">
        <v>74010.98</v>
      </c>
      <c r="AP52" s="11">
        <f t="shared" si="5"/>
        <v>74010.98</v>
      </c>
      <c r="AQ52" s="11">
        <f t="shared" si="6"/>
        <v>25124.097040000008</v>
      </c>
      <c r="AR52" s="11"/>
      <c r="AS52" s="11"/>
      <c r="AT52" s="11"/>
    </row>
    <row r="53" spans="1:46" x14ac:dyDescent="0.15">
      <c r="A53" s="54" t="s">
        <v>798</v>
      </c>
      <c r="B53" s="11" t="s">
        <v>799</v>
      </c>
      <c r="C53" s="11" t="s">
        <v>800</v>
      </c>
      <c r="D53" s="11" t="s">
        <v>801</v>
      </c>
      <c r="E53" s="11" t="s">
        <v>705</v>
      </c>
      <c r="F53" s="11" t="s">
        <v>802</v>
      </c>
      <c r="G53" s="11" t="s">
        <v>803</v>
      </c>
      <c r="H53" s="11" t="s">
        <v>804</v>
      </c>
      <c r="I53" s="11" t="s">
        <v>805</v>
      </c>
      <c r="J53" s="11" t="s">
        <v>804</v>
      </c>
      <c r="K53" s="11" t="s">
        <v>572</v>
      </c>
      <c r="L53" s="11"/>
      <c r="M53" s="11">
        <v>12750000</v>
      </c>
      <c r="N53" s="11"/>
      <c r="O53" s="11"/>
      <c r="P53" s="11"/>
      <c r="Q53" s="11"/>
      <c r="R53" s="11"/>
      <c r="S53" s="11"/>
      <c r="T53" s="11" t="s">
        <v>526</v>
      </c>
      <c r="U53" s="11" t="s">
        <v>600</v>
      </c>
      <c r="V53" s="11">
        <v>0.03</v>
      </c>
      <c r="W53" s="11">
        <f t="shared" si="7"/>
        <v>382500</v>
      </c>
      <c r="X53" s="11">
        <v>382500</v>
      </c>
      <c r="Y53" s="11">
        <f t="shared" si="1"/>
        <v>382500</v>
      </c>
      <c r="Z53" s="11">
        <f t="shared" si="2"/>
        <v>0</v>
      </c>
      <c r="AA53" s="11"/>
      <c r="AB53" s="11"/>
      <c r="AC53" s="11">
        <v>7596524.4199999999</v>
      </c>
      <c r="AD53" s="11">
        <v>7596524.4199999999</v>
      </c>
      <c r="AE53" s="11">
        <f t="shared" si="16"/>
        <v>0.59580583686274513</v>
      </c>
      <c r="AF53" s="11"/>
      <c r="AG53" s="11"/>
      <c r="AH53" s="11">
        <v>6030422.2000000002</v>
      </c>
      <c r="AI53" s="11"/>
      <c r="AJ53" s="11"/>
      <c r="AK53" s="11"/>
      <c r="AL53" s="11">
        <f t="shared" si="4"/>
        <v>6030422.2000000002</v>
      </c>
      <c r="AM53" s="11"/>
      <c r="AN53" s="11">
        <v>297937.5</v>
      </c>
      <c r="AO53" s="11">
        <v>297937.5</v>
      </c>
      <c r="AP53" s="11">
        <f t="shared" si="5"/>
        <v>297937.5</v>
      </c>
      <c r="AQ53" s="11">
        <f t="shared" si="6"/>
        <v>0</v>
      </c>
      <c r="AR53" s="11"/>
      <c r="AS53" s="11"/>
      <c r="AT53" s="11"/>
    </row>
    <row r="54" spans="1:46" x14ac:dyDescent="0.15">
      <c r="A54" s="54" t="s">
        <v>806</v>
      </c>
      <c r="B54" s="11" t="s">
        <v>759</v>
      </c>
      <c r="C54" s="11" t="s">
        <v>362</v>
      </c>
      <c r="D54" s="11" t="s">
        <v>807</v>
      </c>
      <c r="E54" s="11" t="s">
        <v>548</v>
      </c>
      <c r="F54" s="11"/>
      <c r="G54" s="11"/>
      <c r="H54" s="11" t="s">
        <v>763</v>
      </c>
      <c r="I54" s="11"/>
      <c r="J54" s="11"/>
      <c r="K54" s="11"/>
      <c r="L54" s="11"/>
      <c r="M54" s="11">
        <v>50000</v>
      </c>
      <c r="N54" s="11"/>
      <c r="O54" s="11"/>
      <c r="P54" s="11"/>
      <c r="Q54" s="11"/>
      <c r="R54" s="11"/>
      <c r="S54" s="11"/>
      <c r="T54" s="11" t="s">
        <v>526</v>
      </c>
      <c r="U54" s="11" t="s">
        <v>600</v>
      </c>
      <c r="V54" s="11">
        <v>8.5999999999999993E-2</v>
      </c>
      <c r="W54" s="11">
        <f t="shared" si="7"/>
        <v>4300</v>
      </c>
      <c r="X54" s="11">
        <v>4300</v>
      </c>
      <c r="Y54" s="11">
        <f t="shared" si="1"/>
        <v>4300</v>
      </c>
      <c r="Z54" s="11">
        <f t="shared" si="2"/>
        <v>0</v>
      </c>
      <c r="AA54" s="11"/>
      <c r="AB54" s="11"/>
      <c r="AC54" s="11">
        <v>40000</v>
      </c>
      <c r="AD54" s="11">
        <v>40000</v>
      </c>
      <c r="AE54" s="11">
        <f t="shared" si="16"/>
        <v>0.8</v>
      </c>
      <c r="AF54" s="11"/>
      <c r="AG54" s="11"/>
      <c r="AH54" s="11">
        <v>40000</v>
      </c>
      <c r="AI54" s="11"/>
      <c r="AJ54" s="11"/>
      <c r="AK54" s="11"/>
      <c r="AL54" s="11">
        <f t="shared" si="4"/>
        <v>40000</v>
      </c>
      <c r="AM54" s="11">
        <v>3.4000000000000002E-2</v>
      </c>
      <c r="AN54" s="11">
        <f t="shared" ref="AN54:AN86" si="18">M54*AM54</f>
        <v>1700.0000000000002</v>
      </c>
      <c r="AO54" s="11">
        <v>1700</v>
      </c>
      <c r="AP54" s="11">
        <f t="shared" si="5"/>
        <v>1700</v>
      </c>
      <c r="AQ54" s="11">
        <f t="shared" si="6"/>
        <v>0</v>
      </c>
      <c r="AR54" s="11"/>
      <c r="AS54" s="11"/>
      <c r="AT54" s="11"/>
    </row>
    <row r="55" spans="1:46" x14ac:dyDescent="0.15">
      <c r="A55" s="54" t="s">
        <v>808</v>
      </c>
      <c r="B55" s="11" t="s">
        <v>759</v>
      </c>
      <c r="C55" s="11" t="s">
        <v>372</v>
      </c>
      <c r="D55" s="11" t="s">
        <v>809</v>
      </c>
      <c r="E55" s="11" t="s">
        <v>548</v>
      </c>
      <c r="F55" s="11"/>
      <c r="G55" s="11"/>
      <c r="H55" s="11" t="s">
        <v>763</v>
      </c>
      <c r="I55" s="11"/>
      <c r="J55" s="11"/>
      <c r="K55" s="11"/>
      <c r="L55" s="11"/>
      <c r="M55" s="11">
        <v>50000</v>
      </c>
      <c r="N55" s="11"/>
      <c r="O55" s="11"/>
      <c r="P55" s="11"/>
      <c r="Q55" s="11"/>
      <c r="R55" s="11"/>
      <c r="S55" s="11"/>
      <c r="T55" s="11" t="s">
        <v>526</v>
      </c>
      <c r="U55" s="11" t="s">
        <v>600</v>
      </c>
      <c r="V55" s="11">
        <v>8.5999999999999993E-2</v>
      </c>
      <c r="W55" s="11">
        <f t="shared" si="7"/>
        <v>4300</v>
      </c>
      <c r="X55" s="11">
        <v>4300</v>
      </c>
      <c r="Y55" s="11">
        <f t="shared" si="1"/>
        <v>4300</v>
      </c>
      <c r="Z55" s="11">
        <f t="shared" si="2"/>
        <v>0</v>
      </c>
      <c r="AA55" s="11"/>
      <c r="AB55" s="11"/>
      <c r="AC55" s="11">
        <v>40000</v>
      </c>
      <c r="AD55" s="11">
        <v>40000</v>
      </c>
      <c r="AE55" s="11">
        <f t="shared" si="16"/>
        <v>0.8</v>
      </c>
      <c r="AF55" s="11"/>
      <c r="AG55" s="11"/>
      <c r="AH55" s="11">
        <v>40000</v>
      </c>
      <c r="AI55" s="11"/>
      <c r="AJ55" s="11"/>
      <c r="AK55" s="11"/>
      <c r="AL55" s="11">
        <f t="shared" si="4"/>
        <v>40000</v>
      </c>
      <c r="AM55" s="11">
        <v>3.4000000000000002E-2</v>
      </c>
      <c r="AN55" s="11">
        <f t="shared" si="18"/>
        <v>1700.0000000000002</v>
      </c>
      <c r="AO55" s="11">
        <v>0</v>
      </c>
      <c r="AP55" s="11">
        <f t="shared" si="5"/>
        <v>0</v>
      </c>
      <c r="AQ55" s="11">
        <f t="shared" si="6"/>
        <v>1700.0000000000002</v>
      </c>
      <c r="AR55" s="11"/>
      <c r="AS55" s="11"/>
      <c r="AT55" s="11"/>
    </row>
    <row r="56" spans="1:46" x14ac:dyDescent="0.15">
      <c r="A56" s="54" t="s">
        <v>810</v>
      </c>
      <c r="B56" s="11" t="s">
        <v>759</v>
      </c>
      <c r="C56" s="11" t="s">
        <v>385</v>
      </c>
      <c r="D56" s="11" t="s">
        <v>811</v>
      </c>
      <c r="E56" s="11" t="s">
        <v>548</v>
      </c>
      <c r="F56" s="11"/>
      <c r="G56" s="11"/>
      <c r="H56" s="11" t="s">
        <v>763</v>
      </c>
      <c r="I56" s="11"/>
      <c r="J56" s="11"/>
      <c r="K56" s="11"/>
      <c r="L56" s="11"/>
      <c r="M56" s="11">
        <v>50000</v>
      </c>
      <c r="N56" s="11"/>
      <c r="O56" s="11"/>
      <c r="P56" s="11"/>
      <c r="Q56" s="11"/>
      <c r="R56" s="11"/>
      <c r="S56" s="11"/>
      <c r="T56" s="11" t="s">
        <v>526</v>
      </c>
      <c r="U56" s="11" t="s">
        <v>600</v>
      </c>
      <c r="V56" s="11">
        <v>8.5999999999999993E-2</v>
      </c>
      <c r="W56" s="11">
        <f t="shared" si="7"/>
        <v>4300</v>
      </c>
      <c r="X56" s="11"/>
      <c r="Y56" s="11">
        <f t="shared" si="1"/>
        <v>0</v>
      </c>
      <c r="Z56" s="11">
        <f t="shared" si="2"/>
        <v>4300</v>
      </c>
      <c r="AA56" s="11"/>
      <c r="AB56" s="11"/>
      <c r="AC56" s="11">
        <v>0</v>
      </c>
      <c r="AD56" s="11">
        <v>0</v>
      </c>
      <c r="AE56" s="11">
        <f t="shared" si="16"/>
        <v>0</v>
      </c>
      <c r="AF56" s="11"/>
      <c r="AG56" s="11"/>
      <c r="AH56" s="11"/>
      <c r="AI56" s="11"/>
      <c r="AJ56" s="11"/>
      <c r="AK56" s="11"/>
      <c r="AL56" s="11">
        <f t="shared" si="4"/>
        <v>0</v>
      </c>
      <c r="AM56" s="11">
        <v>3.4000000000000002E-2</v>
      </c>
      <c r="AN56" s="11">
        <f t="shared" si="18"/>
        <v>1700.0000000000002</v>
      </c>
      <c r="AO56" s="11"/>
      <c r="AP56" s="11">
        <f t="shared" si="5"/>
        <v>0</v>
      </c>
      <c r="AQ56" s="11">
        <f t="shared" si="6"/>
        <v>1700.0000000000002</v>
      </c>
      <c r="AR56" s="11"/>
      <c r="AS56" s="11"/>
      <c r="AT56" s="11"/>
    </row>
    <row r="57" spans="1:46" x14ac:dyDescent="0.15">
      <c r="A57" s="54" t="s">
        <v>812</v>
      </c>
      <c r="B57" s="11" t="s">
        <v>759</v>
      </c>
      <c r="C57" s="11" t="s">
        <v>449</v>
      </c>
      <c r="D57" s="11" t="s">
        <v>813</v>
      </c>
      <c r="E57" s="11" t="s">
        <v>548</v>
      </c>
      <c r="F57" s="11"/>
      <c r="G57" s="11"/>
      <c r="H57" s="11" t="s">
        <v>763</v>
      </c>
      <c r="I57" s="11"/>
      <c r="J57" s="11"/>
      <c r="K57" s="11"/>
      <c r="L57" s="11"/>
      <c r="M57" s="11">
        <v>50000</v>
      </c>
      <c r="N57" s="11"/>
      <c r="O57" s="11"/>
      <c r="P57" s="11"/>
      <c r="Q57" s="11"/>
      <c r="R57" s="11"/>
      <c r="S57" s="11"/>
      <c r="T57" s="11" t="s">
        <v>526</v>
      </c>
      <c r="U57" s="11" t="s">
        <v>600</v>
      </c>
      <c r="V57" s="11">
        <v>8.5999999999999993E-2</v>
      </c>
      <c r="W57" s="11">
        <f t="shared" si="7"/>
        <v>4300</v>
      </c>
      <c r="X57" s="11"/>
      <c r="Y57" s="11">
        <f t="shared" si="1"/>
        <v>0</v>
      </c>
      <c r="Z57" s="11">
        <f t="shared" si="2"/>
        <v>4300</v>
      </c>
      <c r="AA57" s="11"/>
      <c r="AB57" s="11"/>
      <c r="AC57" s="11">
        <v>0</v>
      </c>
      <c r="AD57" s="11">
        <v>0</v>
      </c>
      <c r="AE57" s="11">
        <f t="shared" si="16"/>
        <v>0</v>
      </c>
      <c r="AF57" s="11"/>
      <c r="AG57" s="11"/>
      <c r="AH57" s="11"/>
      <c r="AI57" s="11"/>
      <c r="AJ57" s="11"/>
      <c r="AK57" s="11"/>
      <c r="AL57" s="11">
        <f t="shared" si="4"/>
        <v>0</v>
      </c>
      <c r="AM57" s="11">
        <v>3.4000000000000002E-2</v>
      </c>
      <c r="AN57" s="11">
        <f t="shared" si="18"/>
        <v>1700.0000000000002</v>
      </c>
      <c r="AO57" s="11"/>
      <c r="AP57" s="11">
        <f t="shared" si="5"/>
        <v>0</v>
      </c>
      <c r="AQ57" s="11">
        <f t="shared" si="6"/>
        <v>1700.0000000000002</v>
      </c>
      <c r="AR57" s="11"/>
      <c r="AS57" s="11"/>
      <c r="AT57" s="11"/>
    </row>
    <row r="58" spans="1:46" x14ac:dyDescent="0.15">
      <c r="A58" s="54" t="s">
        <v>812</v>
      </c>
      <c r="B58" s="11" t="s">
        <v>642</v>
      </c>
      <c r="C58" s="11" t="s">
        <v>814</v>
      </c>
      <c r="D58" s="11" t="s">
        <v>815</v>
      </c>
      <c r="E58" s="11" t="s">
        <v>548</v>
      </c>
      <c r="F58" s="11"/>
      <c r="G58" s="11"/>
      <c r="H58" s="11" t="s">
        <v>646</v>
      </c>
      <c r="I58" s="11"/>
      <c r="J58" s="11"/>
      <c r="K58" s="11"/>
      <c r="L58" s="11"/>
      <c r="M58" s="11">
        <f>5410202+967901.04</f>
        <v>6378103.04</v>
      </c>
      <c r="N58" s="11"/>
      <c r="O58" s="11"/>
      <c r="P58" s="11"/>
      <c r="Q58" s="11"/>
      <c r="R58" s="11"/>
      <c r="S58" s="11"/>
      <c r="T58" s="11" t="s">
        <v>526</v>
      </c>
      <c r="U58" s="11" t="s">
        <v>600</v>
      </c>
      <c r="V58" s="11">
        <v>0.03</v>
      </c>
      <c r="W58" s="11">
        <f t="shared" si="7"/>
        <v>191343.0912</v>
      </c>
      <c r="X58" s="11"/>
      <c r="Y58" s="11">
        <f t="shared" si="1"/>
        <v>0</v>
      </c>
      <c r="Z58" s="11">
        <f t="shared" si="2"/>
        <v>191343.0912</v>
      </c>
      <c r="AA58" s="11"/>
      <c r="AB58" s="11"/>
      <c r="AC58" s="11">
        <v>0</v>
      </c>
      <c r="AD58" s="11">
        <v>0</v>
      </c>
      <c r="AE58" s="11">
        <f t="shared" si="16"/>
        <v>0</v>
      </c>
      <c r="AF58" s="11"/>
      <c r="AG58" s="11"/>
      <c r="AH58" s="11">
        <v>188631.25</v>
      </c>
      <c r="AI58" s="11"/>
      <c r="AJ58" s="11"/>
      <c r="AK58" s="11"/>
      <c r="AL58" s="11">
        <f t="shared" si="4"/>
        <v>188631.25</v>
      </c>
      <c r="AM58" s="11"/>
      <c r="AN58" s="11">
        <f t="shared" si="18"/>
        <v>0</v>
      </c>
      <c r="AO58" s="11"/>
      <c r="AP58" s="11">
        <f t="shared" si="5"/>
        <v>0</v>
      </c>
      <c r="AQ58" s="11">
        <f t="shared" si="6"/>
        <v>0</v>
      </c>
      <c r="AR58" s="11"/>
      <c r="AS58" s="11"/>
      <c r="AT58" s="11"/>
    </row>
    <row r="59" spans="1:46" x14ac:dyDescent="0.15">
      <c r="A59" s="54" t="s">
        <v>812</v>
      </c>
      <c r="B59" s="11" t="s">
        <v>620</v>
      </c>
      <c r="C59" s="11" t="s">
        <v>425</v>
      </c>
      <c r="D59" s="11" t="s">
        <v>816</v>
      </c>
      <c r="E59" s="11" t="s">
        <v>548</v>
      </c>
      <c r="F59" s="11"/>
      <c r="G59" s="11"/>
      <c r="H59" s="11" t="s">
        <v>624</v>
      </c>
      <c r="I59" s="11"/>
      <c r="J59" s="11"/>
      <c r="K59" s="11"/>
      <c r="L59" s="11"/>
      <c r="M59" s="11">
        <v>630000</v>
      </c>
      <c r="N59" s="11"/>
      <c r="O59" s="11"/>
      <c r="P59" s="11"/>
      <c r="Q59" s="11"/>
      <c r="R59" s="11"/>
      <c r="S59" s="11"/>
      <c r="T59" s="11" t="s">
        <v>526</v>
      </c>
      <c r="U59" s="11" t="s">
        <v>600</v>
      </c>
      <c r="V59" s="11">
        <v>8.5999999999999993E-2</v>
      </c>
      <c r="W59" s="11">
        <f t="shared" si="7"/>
        <v>54179.999999999993</v>
      </c>
      <c r="X59" s="11">
        <v>54180</v>
      </c>
      <c r="Y59" s="11">
        <f t="shared" si="1"/>
        <v>54180</v>
      </c>
      <c r="Z59" s="11">
        <f t="shared" si="2"/>
        <v>0</v>
      </c>
      <c r="AA59" s="11"/>
      <c r="AB59" s="11"/>
      <c r="AC59" s="11">
        <v>441000</v>
      </c>
      <c r="AD59" s="11">
        <v>441000</v>
      </c>
      <c r="AE59" s="11">
        <f t="shared" si="16"/>
        <v>0.7</v>
      </c>
      <c r="AF59" s="11"/>
      <c r="AG59" s="11"/>
      <c r="AH59" s="11">
        <v>400000</v>
      </c>
      <c r="AI59" s="11"/>
      <c r="AJ59" s="11"/>
      <c r="AK59" s="11"/>
      <c r="AL59" s="11">
        <f t="shared" si="4"/>
        <v>400000</v>
      </c>
      <c r="AM59" s="11">
        <v>3.4000000000000002E-2</v>
      </c>
      <c r="AN59" s="11">
        <f t="shared" si="18"/>
        <v>21420</v>
      </c>
      <c r="AO59" s="11">
        <v>14994</v>
      </c>
      <c r="AP59" s="11">
        <f t="shared" si="5"/>
        <v>14994</v>
      </c>
      <c r="AQ59" s="11">
        <f t="shared" si="6"/>
        <v>6426</v>
      </c>
      <c r="AR59" s="11"/>
      <c r="AS59" s="11"/>
      <c r="AT59" s="11"/>
    </row>
    <row r="60" spans="1:46" x14ac:dyDescent="0.15">
      <c r="A60" s="54" t="s">
        <v>812</v>
      </c>
      <c r="B60" s="11" t="s">
        <v>759</v>
      </c>
      <c r="C60" s="11" t="s">
        <v>817</v>
      </c>
      <c r="D60" s="11" t="s">
        <v>818</v>
      </c>
      <c r="E60" s="11" t="s">
        <v>548</v>
      </c>
      <c r="F60" s="11"/>
      <c r="G60" s="11"/>
      <c r="H60" s="11" t="s">
        <v>763</v>
      </c>
      <c r="I60" s="11"/>
      <c r="J60" s="11"/>
      <c r="K60" s="11"/>
      <c r="L60" s="11"/>
      <c r="M60" s="11">
        <v>1250000</v>
      </c>
      <c r="N60" s="11"/>
      <c r="O60" s="11"/>
      <c r="P60" s="11"/>
      <c r="Q60" s="11"/>
      <c r="R60" s="11"/>
      <c r="S60" s="11"/>
      <c r="T60" s="11" t="s">
        <v>526</v>
      </c>
      <c r="U60" s="11" t="s">
        <v>600</v>
      </c>
      <c r="V60" s="11">
        <v>8.5999999999999993E-2</v>
      </c>
      <c r="W60" s="11">
        <f t="shared" si="7"/>
        <v>107499.99999999999</v>
      </c>
      <c r="X60" s="11">
        <v>51600</v>
      </c>
      <c r="Y60" s="11">
        <f t="shared" si="1"/>
        <v>51600</v>
      </c>
      <c r="Z60" s="11">
        <f t="shared" si="2"/>
        <v>55899.999999999985</v>
      </c>
      <c r="AA60" s="11"/>
      <c r="AB60" s="11"/>
      <c r="AC60" s="11">
        <v>600000</v>
      </c>
      <c r="AD60" s="11">
        <v>600000</v>
      </c>
      <c r="AE60" s="11">
        <f t="shared" si="16"/>
        <v>0.48</v>
      </c>
      <c r="AF60" s="11"/>
      <c r="AG60" s="11"/>
      <c r="AH60" s="11">
        <v>600000</v>
      </c>
      <c r="AI60" s="11"/>
      <c r="AJ60" s="11"/>
      <c r="AK60" s="11"/>
      <c r="AL60" s="11">
        <f t="shared" si="4"/>
        <v>600000</v>
      </c>
      <c r="AM60" s="11">
        <v>3.4000000000000002E-2</v>
      </c>
      <c r="AN60" s="11">
        <f t="shared" si="18"/>
        <v>42500</v>
      </c>
      <c r="AO60" s="11"/>
      <c r="AP60" s="11">
        <f t="shared" si="5"/>
        <v>0</v>
      </c>
      <c r="AQ60" s="11">
        <f t="shared" si="6"/>
        <v>42500</v>
      </c>
      <c r="AR60" s="11"/>
      <c r="AS60" s="11"/>
      <c r="AT60" s="11"/>
    </row>
    <row r="61" spans="1:46" x14ac:dyDescent="0.15">
      <c r="A61" s="54" t="s">
        <v>812</v>
      </c>
      <c r="B61" s="11" t="s">
        <v>759</v>
      </c>
      <c r="C61" s="11" t="s">
        <v>819</v>
      </c>
      <c r="D61" s="11" t="s">
        <v>820</v>
      </c>
      <c r="E61" s="11" t="s">
        <v>548</v>
      </c>
      <c r="F61" s="11"/>
      <c r="G61" s="11"/>
      <c r="H61" s="11" t="s">
        <v>763</v>
      </c>
      <c r="I61" s="11"/>
      <c r="J61" s="11"/>
      <c r="K61" s="11"/>
      <c r="L61" s="11"/>
      <c r="M61" s="11">
        <v>1826701.83</v>
      </c>
      <c r="N61" s="11"/>
      <c r="O61" s="11"/>
      <c r="P61" s="11"/>
      <c r="Q61" s="11"/>
      <c r="R61" s="11"/>
      <c r="S61" s="11"/>
      <c r="T61" s="11" t="s">
        <v>700</v>
      </c>
      <c r="U61" s="11" t="s">
        <v>710</v>
      </c>
      <c r="V61" s="11">
        <v>8.5999999999999993E-2</v>
      </c>
      <c r="W61" s="11">
        <f t="shared" si="7"/>
        <v>157096.35738</v>
      </c>
      <c r="X61" s="11">
        <v>78548.179999999993</v>
      </c>
      <c r="Y61" s="11">
        <f t="shared" si="1"/>
        <v>78548.179999999993</v>
      </c>
      <c r="Z61" s="11">
        <f t="shared" si="2"/>
        <v>78548.177380000008</v>
      </c>
      <c r="AA61" s="11"/>
      <c r="AB61" s="11"/>
      <c r="AC61" s="11">
        <v>365340.36</v>
      </c>
      <c r="AD61" s="11">
        <v>365340.36</v>
      </c>
      <c r="AE61" s="11">
        <f t="shared" si="16"/>
        <v>0.19999999671539168</v>
      </c>
      <c r="AF61" s="11"/>
      <c r="AG61" s="11"/>
      <c r="AH61" s="11">
        <v>365340.36</v>
      </c>
      <c r="AI61" s="11"/>
      <c r="AJ61" s="11"/>
      <c r="AK61" s="11"/>
      <c r="AL61" s="11">
        <f t="shared" si="4"/>
        <v>365340.36</v>
      </c>
      <c r="AM61" s="11">
        <v>3.4000000000000002E-2</v>
      </c>
      <c r="AN61" s="11">
        <f t="shared" si="18"/>
        <v>62107.86222000001</v>
      </c>
      <c r="AO61" s="11"/>
      <c r="AP61" s="11">
        <f t="shared" si="5"/>
        <v>0</v>
      </c>
      <c r="AQ61" s="11">
        <f t="shared" si="6"/>
        <v>62107.86222000001</v>
      </c>
      <c r="AR61" s="11"/>
      <c r="AS61" s="11"/>
      <c r="AT61" s="11"/>
    </row>
    <row r="62" spans="1:46" x14ac:dyDescent="0.15">
      <c r="A62" s="54" t="s">
        <v>812</v>
      </c>
      <c r="B62" s="11" t="s">
        <v>532</v>
      </c>
      <c r="C62" s="11" t="s">
        <v>427</v>
      </c>
      <c r="D62" s="11" t="s">
        <v>821</v>
      </c>
      <c r="E62" s="11" t="s">
        <v>548</v>
      </c>
      <c r="F62" s="11"/>
      <c r="G62" s="11"/>
      <c r="H62" s="11" t="s">
        <v>539</v>
      </c>
      <c r="I62" s="11" t="s">
        <v>592</v>
      </c>
      <c r="J62" s="11" t="s">
        <v>539</v>
      </c>
      <c r="K62" s="11"/>
      <c r="L62" s="11"/>
      <c r="M62" s="11">
        <v>23840000</v>
      </c>
      <c r="N62" s="11"/>
      <c r="O62" s="11"/>
      <c r="P62" s="11"/>
      <c r="Q62" s="11"/>
      <c r="R62" s="11"/>
      <c r="S62" s="11"/>
      <c r="T62" s="11" t="s">
        <v>526</v>
      </c>
      <c r="U62" s="11" t="s">
        <v>600</v>
      </c>
      <c r="V62" s="11">
        <v>0.03</v>
      </c>
      <c r="W62" s="11">
        <f t="shared" si="7"/>
        <v>715200</v>
      </c>
      <c r="X62" s="11"/>
      <c r="Y62" s="11">
        <f t="shared" si="1"/>
        <v>0</v>
      </c>
      <c r="Z62" s="11">
        <f t="shared" si="2"/>
        <v>715200</v>
      </c>
      <c r="AA62" s="11"/>
      <c r="AB62" s="11"/>
      <c r="AC62" s="11">
        <v>0</v>
      </c>
      <c r="AD62" s="11">
        <v>0</v>
      </c>
      <c r="AE62" s="11">
        <f t="shared" si="16"/>
        <v>0</v>
      </c>
      <c r="AF62" s="11"/>
      <c r="AG62" s="11"/>
      <c r="AH62" s="11"/>
      <c r="AI62" s="11"/>
      <c r="AJ62" s="11"/>
      <c r="AK62" s="11"/>
      <c r="AL62" s="11">
        <f t="shared" si="4"/>
        <v>0</v>
      </c>
      <c r="AM62" s="11">
        <v>3.4000000000000002E-2</v>
      </c>
      <c r="AN62" s="11">
        <f t="shared" si="18"/>
        <v>810560</v>
      </c>
      <c r="AO62" s="11"/>
      <c r="AP62" s="11">
        <f t="shared" si="5"/>
        <v>0</v>
      </c>
      <c r="AQ62" s="11">
        <f t="shared" si="6"/>
        <v>810560</v>
      </c>
      <c r="AR62" s="11"/>
      <c r="AS62" s="11"/>
      <c r="AT62" s="11"/>
    </row>
    <row r="63" spans="1:46" x14ac:dyDescent="0.15">
      <c r="A63" s="54" t="s">
        <v>812</v>
      </c>
      <c r="B63" s="11" t="s">
        <v>564</v>
      </c>
      <c r="C63" s="11" t="s">
        <v>451</v>
      </c>
      <c r="D63" s="11" t="s">
        <v>822</v>
      </c>
      <c r="E63" s="11" t="s">
        <v>705</v>
      </c>
      <c r="F63" s="11"/>
      <c r="G63" s="11"/>
      <c r="H63" s="11" t="s">
        <v>571</v>
      </c>
      <c r="I63" s="11"/>
      <c r="J63" s="11"/>
      <c r="K63" s="11"/>
      <c r="L63" s="11"/>
      <c r="M63" s="11">
        <v>9995935.1099999994</v>
      </c>
      <c r="N63" s="11"/>
      <c r="O63" s="11"/>
      <c r="P63" s="11"/>
      <c r="Q63" s="11"/>
      <c r="R63" s="11"/>
      <c r="S63" s="11"/>
      <c r="T63" s="11" t="s">
        <v>526</v>
      </c>
      <c r="U63" s="11" t="s">
        <v>600</v>
      </c>
      <c r="V63" s="11">
        <v>0.03</v>
      </c>
      <c r="W63" s="11">
        <f t="shared" si="7"/>
        <v>299878.05329999997</v>
      </c>
      <c r="X63" s="11">
        <v>11900</v>
      </c>
      <c r="Y63" s="11">
        <f t="shared" si="1"/>
        <v>11900</v>
      </c>
      <c r="Z63" s="11">
        <f t="shared" si="2"/>
        <v>287978.05329999997</v>
      </c>
      <c r="AA63" s="11"/>
      <c r="AB63" s="11"/>
      <c r="AC63" s="11">
        <v>2798861.83</v>
      </c>
      <c r="AD63" s="11">
        <v>2798861.83</v>
      </c>
      <c r="AE63" s="11">
        <f t="shared" si="16"/>
        <v>0.27999999991996749</v>
      </c>
      <c r="AF63" s="11"/>
      <c r="AG63" s="11"/>
      <c r="AH63" s="11">
        <v>1627060.22</v>
      </c>
      <c r="AI63" s="11"/>
      <c r="AJ63" s="11"/>
      <c r="AK63" s="11"/>
      <c r="AL63" s="11">
        <f t="shared" si="4"/>
        <v>1627060.22</v>
      </c>
      <c r="AM63" s="11"/>
      <c r="AN63" s="11">
        <f t="shared" si="18"/>
        <v>0</v>
      </c>
      <c r="AO63" s="11">
        <v>273808.63</v>
      </c>
      <c r="AP63" s="11">
        <f t="shared" si="5"/>
        <v>273808.63</v>
      </c>
      <c r="AQ63" s="11"/>
      <c r="AR63" s="11"/>
      <c r="AS63" s="11"/>
      <c r="AT63" s="11"/>
    </row>
    <row r="64" spans="1:46" x14ac:dyDescent="0.15">
      <c r="A64" s="54" t="s">
        <v>812</v>
      </c>
      <c r="B64" s="11" t="s">
        <v>759</v>
      </c>
      <c r="C64" s="11" t="s">
        <v>405</v>
      </c>
      <c r="D64" s="11" t="s">
        <v>823</v>
      </c>
      <c r="E64" s="11" t="s">
        <v>705</v>
      </c>
      <c r="F64" s="11"/>
      <c r="G64" s="11"/>
      <c r="H64" s="11" t="s">
        <v>763</v>
      </c>
      <c r="I64" s="11"/>
      <c r="J64" s="11"/>
      <c r="K64" s="11"/>
      <c r="L64" s="11"/>
      <c r="M64" s="11">
        <v>882200</v>
      </c>
      <c r="N64" s="11"/>
      <c r="O64" s="11"/>
      <c r="P64" s="11"/>
      <c r="Q64" s="11"/>
      <c r="R64" s="11"/>
      <c r="S64" s="11"/>
      <c r="T64" s="11" t="s">
        <v>526</v>
      </c>
      <c r="U64" s="11" t="s">
        <v>600</v>
      </c>
      <c r="V64" s="11">
        <v>8.5999999999999993E-2</v>
      </c>
      <c r="W64" s="11">
        <f t="shared" si="7"/>
        <v>75869.2</v>
      </c>
      <c r="X64" s="11">
        <v>37934.6</v>
      </c>
      <c r="Y64" s="11">
        <f t="shared" si="1"/>
        <v>37934.6</v>
      </c>
      <c r="Z64" s="11">
        <f t="shared" si="2"/>
        <v>37934.6</v>
      </c>
      <c r="AA64" s="11"/>
      <c r="AB64" s="11"/>
      <c r="AC64" s="11">
        <v>176440</v>
      </c>
      <c r="AD64" s="11">
        <v>176440</v>
      </c>
      <c r="AE64" s="11">
        <f t="shared" si="16"/>
        <v>0.2</v>
      </c>
      <c r="AF64" s="11"/>
      <c r="AG64" s="11"/>
      <c r="AH64" s="11">
        <v>176440</v>
      </c>
      <c r="AI64" s="11"/>
      <c r="AJ64" s="11"/>
      <c r="AK64" s="11"/>
      <c r="AL64" s="11">
        <f t="shared" si="4"/>
        <v>176440</v>
      </c>
      <c r="AM64" s="11">
        <v>3.4000000000000002E-2</v>
      </c>
      <c r="AN64" s="11">
        <f t="shared" si="18"/>
        <v>29994.800000000003</v>
      </c>
      <c r="AO64" s="11"/>
      <c r="AP64" s="11">
        <f t="shared" si="5"/>
        <v>0</v>
      </c>
      <c r="AQ64" s="11">
        <f t="shared" si="6"/>
        <v>29994.800000000003</v>
      </c>
      <c r="AR64" s="11"/>
      <c r="AS64" s="11"/>
      <c r="AT64" s="11"/>
    </row>
    <row r="65" spans="1:46" x14ac:dyDescent="0.15">
      <c r="A65" s="54" t="s">
        <v>812</v>
      </c>
      <c r="B65" s="11" t="s">
        <v>824</v>
      </c>
      <c r="C65" s="11" t="s">
        <v>429</v>
      </c>
      <c r="D65" s="11" t="s">
        <v>825</v>
      </c>
      <c r="E65" s="11" t="s">
        <v>548</v>
      </c>
      <c r="F65" s="11"/>
      <c r="G65" s="11"/>
      <c r="H65" s="11" t="s">
        <v>826</v>
      </c>
      <c r="I65" s="11"/>
      <c r="J65" s="11"/>
      <c r="K65" s="11"/>
      <c r="L65" s="11"/>
      <c r="M65" s="11">
        <v>4215575</v>
      </c>
      <c r="N65" s="11"/>
      <c r="O65" s="11"/>
      <c r="P65" s="11"/>
      <c r="Q65" s="11"/>
      <c r="R65" s="11"/>
      <c r="S65" s="11"/>
      <c r="T65" s="11" t="s">
        <v>526</v>
      </c>
      <c r="U65" s="11" t="s">
        <v>600</v>
      </c>
      <c r="V65" s="11">
        <v>3.5999999999999997E-2</v>
      </c>
      <c r="W65" s="11">
        <f t="shared" si="7"/>
        <v>151760.69999999998</v>
      </c>
      <c r="X65" s="11"/>
      <c r="Y65" s="11">
        <f t="shared" si="1"/>
        <v>0</v>
      </c>
      <c r="Z65" s="11">
        <f t="shared" si="2"/>
        <v>151760.69999999998</v>
      </c>
      <c r="AA65" s="11"/>
      <c r="AB65" s="11"/>
      <c r="AC65" s="11">
        <v>500000</v>
      </c>
      <c r="AD65" s="11">
        <v>500000</v>
      </c>
      <c r="AE65" s="11">
        <f t="shared" si="16"/>
        <v>0.1186077818565676</v>
      </c>
      <c r="AF65" s="11"/>
      <c r="AG65" s="11"/>
      <c r="AH65" s="11">
        <v>502460.92</v>
      </c>
      <c r="AI65" s="11"/>
      <c r="AJ65" s="11"/>
      <c r="AK65" s="11"/>
      <c r="AL65" s="11">
        <f t="shared" si="4"/>
        <v>502460.92</v>
      </c>
      <c r="AM65" s="11">
        <v>3.4000000000000002E-2</v>
      </c>
      <c r="AN65" s="11">
        <f t="shared" si="18"/>
        <v>143329.55000000002</v>
      </c>
      <c r="AO65" s="11"/>
      <c r="AP65" s="11">
        <f t="shared" si="5"/>
        <v>0</v>
      </c>
      <c r="AQ65" s="11">
        <f t="shared" si="6"/>
        <v>143329.55000000002</v>
      </c>
      <c r="AR65" s="11">
        <v>700000</v>
      </c>
      <c r="AS65" s="11"/>
      <c r="AT65" s="11"/>
    </row>
    <row r="66" spans="1:46" x14ac:dyDescent="0.15">
      <c r="A66" s="54" t="s">
        <v>812</v>
      </c>
      <c r="B66" s="11" t="s">
        <v>759</v>
      </c>
      <c r="C66" s="11" t="s">
        <v>453</v>
      </c>
      <c r="D66" s="11" t="s">
        <v>827</v>
      </c>
      <c r="E66" s="11" t="s">
        <v>705</v>
      </c>
      <c r="F66" s="11"/>
      <c r="G66" s="11"/>
      <c r="H66" s="11" t="s">
        <v>786</v>
      </c>
      <c r="I66" s="11"/>
      <c r="J66" s="11"/>
      <c r="K66" s="11"/>
      <c r="L66" s="11"/>
      <c r="M66" s="11">
        <v>50000</v>
      </c>
      <c r="N66" s="11"/>
      <c r="O66" s="11"/>
      <c r="P66" s="11"/>
      <c r="Q66" s="11"/>
      <c r="R66" s="11"/>
      <c r="S66" s="11"/>
      <c r="T66" s="11" t="s">
        <v>526</v>
      </c>
      <c r="U66" s="11" t="s">
        <v>710</v>
      </c>
      <c r="V66" s="11">
        <v>8.5999999999999993E-2</v>
      </c>
      <c r="W66" s="11">
        <f t="shared" si="7"/>
        <v>4300</v>
      </c>
      <c r="X66" s="11"/>
      <c r="Y66" s="11">
        <f t="shared" si="1"/>
        <v>0</v>
      </c>
      <c r="Z66" s="11">
        <f t="shared" si="2"/>
        <v>4300</v>
      </c>
      <c r="AA66" s="11"/>
      <c r="AB66" s="11"/>
      <c r="AC66" s="11">
        <v>0</v>
      </c>
      <c r="AD66" s="11">
        <v>0</v>
      </c>
      <c r="AE66" s="11">
        <f t="shared" si="16"/>
        <v>0</v>
      </c>
      <c r="AF66" s="11"/>
      <c r="AG66" s="11"/>
      <c r="AH66" s="11"/>
      <c r="AI66" s="11"/>
      <c r="AJ66" s="11"/>
      <c r="AK66" s="11"/>
      <c r="AL66" s="11">
        <f t="shared" si="4"/>
        <v>0</v>
      </c>
      <c r="AM66" s="11">
        <v>3.4000000000000002E-2</v>
      </c>
      <c r="AN66" s="11">
        <f t="shared" si="18"/>
        <v>1700.0000000000002</v>
      </c>
      <c r="AO66" s="11"/>
      <c r="AP66" s="11">
        <f t="shared" si="5"/>
        <v>0</v>
      </c>
      <c r="AQ66" s="11">
        <f t="shared" si="6"/>
        <v>1700.0000000000002</v>
      </c>
      <c r="AR66" s="11"/>
      <c r="AS66" s="11"/>
      <c r="AT66" s="11"/>
    </row>
    <row r="67" spans="1:46" x14ac:dyDescent="0.15">
      <c r="A67" s="54" t="s">
        <v>812</v>
      </c>
      <c r="B67" s="11" t="s">
        <v>759</v>
      </c>
      <c r="C67" s="11" t="s">
        <v>407</v>
      </c>
      <c r="D67" s="11" t="s">
        <v>828</v>
      </c>
      <c r="E67" s="11" t="s">
        <v>548</v>
      </c>
      <c r="F67" s="11"/>
      <c r="G67" s="11"/>
      <c r="H67" s="11" t="s">
        <v>786</v>
      </c>
      <c r="I67" s="11"/>
      <c r="J67" s="11"/>
      <c r="K67" s="11"/>
      <c r="L67" s="11"/>
      <c r="M67" s="11">
        <v>1800000</v>
      </c>
      <c r="N67" s="11"/>
      <c r="O67" s="11"/>
      <c r="P67" s="11"/>
      <c r="Q67" s="11"/>
      <c r="R67" s="11"/>
      <c r="S67" s="11"/>
      <c r="T67" s="11" t="s">
        <v>526</v>
      </c>
      <c r="U67" s="11" t="s">
        <v>600</v>
      </c>
      <c r="V67" s="11">
        <v>8.5999999999999993E-2</v>
      </c>
      <c r="W67" s="11">
        <f t="shared" si="7"/>
        <v>154800</v>
      </c>
      <c r="X67" s="11">
        <v>77400</v>
      </c>
      <c r="Y67" s="11">
        <f t="shared" ref="Y67:Y86" si="19">X67</f>
        <v>77400</v>
      </c>
      <c r="Z67" s="11">
        <f t="shared" ref="Z67:Z86" si="20">W67-X67</f>
        <v>77400</v>
      </c>
      <c r="AA67" s="11"/>
      <c r="AB67" s="11"/>
      <c r="AC67" s="11">
        <v>360000</v>
      </c>
      <c r="AD67" s="11">
        <v>360000</v>
      </c>
      <c r="AE67" s="11">
        <f t="shared" si="16"/>
        <v>0.2</v>
      </c>
      <c r="AF67" s="11"/>
      <c r="AG67" s="11"/>
      <c r="AH67" s="11">
        <v>360000</v>
      </c>
      <c r="AI67" s="11"/>
      <c r="AJ67" s="11"/>
      <c r="AK67" s="11"/>
      <c r="AL67" s="11">
        <f t="shared" ref="AL67:AL86" si="21">AH67</f>
        <v>360000</v>
      </c>
      <c r="AM67" s="11">
        <v>3.4000000000000002E-2</v>
      </c>
      <c r="AN67" s="11">
        <f t="shared" si="18"/>
        <v>61200.000000000007</v>
      </c>
      <c r="AO67" s="11"/>
      <c r="AP67" s="11">
        <f t="shared" ref="AP67:AP86" si="22">AO67</f>
        <v>0</v>
      </c>
      <c r="AQ67" s="11">
        <f t="shared" ref="AQ67:AQ86" si="23">AN67-AO67</f>
        <v>61200.000000000007</v>
      </c>
      <c r="AR67" s="11"/>
      <c r="AS67" s="11"/>
      <c r="AT67" s="11"/>
    </row>
    <row r="68" spans="1:46" x14ac:dyDescent="0.15">
      <c r="A68" s="54" t="s">
        <v>812</v>
      </c>
      <c r="B68" s="11" t="s">
        <v>759</v>
      </c>
      <c r="C68" s="11" t="s">
        <v>431</v>
      </c>
      <c r="D68" s="11" t="s">
        <v>829</v>
      </c>
      <c r="E68" s="11" t="s">
        <v>548</v>
      </c>
      <c r="F68" s="11"/>
      <c r="G68" s="11"/>
      <c r="H68" s="11" t="s">
        <v>763</v>
      </c>
      <c r="I68" s="11"/>
      <c r="J68" s="11"/>
      <c r="K68" s="11"/>
      <c r="L68" s="11"/>
      <c r="M68" s="11">
        <v>60000</v>
      </c>
      <c r="N68" s="11"/>
      <c r="O68" s="11"/>
      <c r="P68" s="11"/>
      <c r="Q68" s="11"/>
      <c r="R68" s="11"/>
      <c r="S68" s="11"/>
      <c r="T68" s="11" t="s">
        <v>526</v>
      </c>
      <c r="U68" s="11" t="s">
        <v>600</v>
      </c>
      <c r="V68" s="11">
        <v>8.5999999999999993E-2</v>
      </c>
      <c r="W68" s="11">
        <f t="shared" ref="W68:W86" si="24">M68*V68</f>
        <v>5160</v>
      </c>
      <c r="X68" s="11">
        <v>5160</v>
      </c>
      <c r="Y68" s="11">
        <f t="shared" si="19"/>
        <v>5160</v>
      </c>
      <c r="Z68" s="11">
        <f t="shared" si="20"/>
        <v>0</v>
      </c>
      <c r="AA68" s="11"/>
      <c r="AB68" s="11"/>
      <c r="AC68" s="11">
        <v>48000</v>
      </c>
      <c r="AD68" s="11">
        <v>48000</v>
      </c>
      <c r="AE68" s="11">
        <f t="shared" si="16"/>
        <v>0.8</v>
      </c>
      <c r="AF68" s="11"/>
      <c r="AG68" s="11"/>
      <c r="AH68" s="11">
        <v>48000</v>
      </c>
      <c r="AI68" s="11"/>
      <c r="AJ68" s="11"/>
      <c r="AK68" s="11"/>
      <c r="AL68" s="11">
        <f t="shared" si="21"/>
        <v>48000</v>
      </c>
      <c r="AM68" s="11">
        <v>3.4000000000000002E-2</v>
      </c>
      <c r="AN68" s="11">
        <f t="shared" si="18"/>
        <v>2040.0000000000002</v>
      </c>
      <c r="AO68" s="11"/>
      <c r="AP68" s="11">
        <f t="shared" si="22"/>
        <v>0</v>
      </c>
      <c r="AQ68" s="11">
        <f t="shared" si="23"/>
        <v>2040.0000000000002</v>
      </c>
      <c r="AR68" s="11"/>
      <c r="AS68" s="11"/>
      <c r="AT68" s="11"/>
    </row>
    <row r="69" spans="1:46" x14ac:dyDescent="0.15">
      <c r="A69" s="54" t="s">
        <v>812</v>
      </c>
      <c r="B69" s="11" t="s">
        <v>759</v>
      </c>
      <c r="C69" s="11" t="s">
        <v>455</v>
      </c>
      <c r="D69" s="11" t="s">
        <v>830</v>
      </c>
      <c r="E69" s="11" t="s">
        <v>548</v>
      </c>
      <c r="F69" s="11"/>
      <c r="G69" s="11"/>
      <c r="H69" s="11" t="s">
        <v>763</v>
      </c>
      <c r="I69" s="11"/>
      <c r="J69" s="11"/>
      <c r="K69" s="11"/>
      <c r="L69" s="11"/>
      <c r="M69" s="11">
        <v>48000</v>
      </c>
      <c r="N69" s="11"/>
      <c r="O69" s="11"/>
      <c r="P69" s="11"/>
      <c r="Q69" s="11"/>
      <c r="R69" s="11"/>
      <c r="S69" s="11"/>
      <c r="T69" s="11" t="s">
        <v>526</v>
      </c>
      <c r="U69" s="11" t="s">
        <v>600</v>
      </c>
      <c r="V69" s="11">
        <v>8.5999999999999993E-2</v>
      </c>
      <c r="W69" s="11">
        <f t="shared" si="24"/>
        <v>4128</v>
      </c>
      <c r="X69" s="11"/>
      <c r="Y69" s="11">
        <f t="shared" si="19"/>
        <v>0</v>
      </c>
      <c r="Z69" s="11">
        <f t="shared" si="20"/>
        <v>4128</v>
      </c>
      <c r="AA69" s="11"/>
      <c r="AB69" s="11"/>
      <c r="AC69" s="11">
        <v>0</v>
      </c>
      <c r="AD69" s="11">
        <v>0</v>
      </c>
      <c r="AE69" s="11">
        <f t="shared" si="16"/>
        <v>0</v>
      </c>
      <c r="AF69" s="11"/>
      <c r="AG69" s="11"/>
      <c r="AH69" s="11"/>
      <c r="AI69" s="11"/>
      <c r="AJ69" s="11"/>
      <c r="AK69" s="11"/>
      <c r="AL69" s="11">
        <f t="shared" si="21"/>
        <v>0</v>
      </c>
      <c r="AM69" s="11">
        <v>3.4000000000000002E-2</v>
      </c>
      <c r="AN69" s="11">
        <f t="shared" si="18"/>
        <v>1632.0000000000002</v>
      </c>
      <c r="AO69" s="11"/>
      <c r="AP69" s="11">
        <f t="shared" si="22"/>
        <v>0</v>
      </c>
      <c r="AQ69" s="11">
        <f t="shared" si="23"/>
        <v>1632.0000000000002</v>
      </c>
      <c r="AR69" s="11"/>
      <c r="AS69" s="11"/>
      <c r="AT69" s="11"/>
    </row>
    <row r="70" spans="1:46" x14ac:dyDescent="0.15">
      <c r="A70" s="54" t="s">
        <v>812</v>
      </c>
      <c r="B70" s="11" t="s">
        <v>642</v>
      </c>
      <c r="C70" s="11" t="s">
        <v>409</v>
      </c>
      <c r="D70" s="11" t="s">
        <v>831</v>
      </c>
      <c r="E70" s="11" t="s">
        <v>548</v>
      </c>
      <c r="F70" s="11"/>
      <c r="G70" s="11"/>
      <c r="H70" s="11" t="s">
        <v>646</v>
      </c>
      <c r="I70" s="11"/>
      <c r="J70" s="11"/>
      <c r="K70" s="11"/>
      <c r="L70" s="11"/>
      <c r="M70" s="11">
        <v>9298739</v>
      </c>
      <c r="N70" s="11"/>
      <c r="O70" s="11"/>
      <c r="P70" s="11"/>
      <c r="Q70" s="11"/>
      <c r="R70" s="11"/>
      <c r="S70" s="11"/>
      <c r="T70" s="11" t="s">
        <v>526</v>
      </c>
      <c r="U70" s="11" t="s">
        <v>600</v>
      </c>
      <c r="V70" s="11">
        <v>0.03</v>
      </c>
      <c r="W70" s="11">
        <f t="shared" si="24"/>
        <v>278962.17</v>
      </c>
      <c r="X70" s="11"/>
      <c r="Y70" s="11">
        <f t="shared" si="19"/>
        <v>0</v>
      </c>
      <c r="Z70" s="11">
        <f t="shared" si="20"/>
        <v>278962.17</v>
      </c>
      <c r="AA70" s="11"/>
      <c r="AB70" s="11"/>
      <c r="AC70" s="11">
        <v>0</v>
      </c>
      <c r="AD70" s="11">
        <v>0</v>
      </c>
      <c r="AE70" s="11">
        <f t="shared" si="16"/>
        <v>0</v>
      </c>
      <c r="AF70" s="11"/>
      <c r="AG70" s="11"/>
      <c r="AH70" s="11"/>
      <c r="AI70" s="11"/>
      <c r="AJ70" s="11"/>
      <c r="AK70" s="11"/>
      <c r="AL70" s="11">
        <f t="shared" si="21"/>
        <v>0</v>
      </c>
      <c r="AM70" s="11"/>
      <c r="AN70" s="11">
        <f t="shared" si="18"/>
        <v>0</v>
      </c>
      <c r="AO70" s="11"/>
      <c r="AP70" s="11">
        <f t="shared" si="22"/>
        <v>0</v>
      </c>
      <c r="AQ70" s="11">
        <f t="shared" si="23"/>
        <v>0</v>
      </c>
      <c r="AR70" s="11"/>
      <c r="AS70" s="11"/>
      <c r="AT70" s="11"/>
    </row>
    <row r="71" spans="1:46" x14ac:dyDescent="0.15">
      <c r="A71" s="54" t="s">
        <v>812</v>
      </c>
      <c r="B71" s="11" t="s">
        <v>832</v>
      </c>
      <c r="C71" s="11" t="s">
        <v>433</v>
      </c>
      <c r="D71" s="11" t="s">
        <v>833</v>
      </c>
      <c r="E71" s="11" t="s">
        <v>548</v>
      </c>
      <c r="F71" s="11"/>
      <c r="G71" s="11"/>
      <c r="H71" s="11" t="s">
        <v>834</v>
      </c>
      <c r="I71" s="11"/>
      <c r="J71" s="11"/>
      <c r="K71" s="11"/>
      <c r="L71" s="11"/>
      <c r="M71" s="11">
        <v>507387</v>
      </c>
      <c r="N71" s="11"/>
      <c r="O71" s="11"/>
      <c r="P71" s="11"/>
      <c r="Q71" s="11"/>
      <c r="R71" s="11"/>
      <c r="S71" s="11"/>
      <c r="T71" s="11" t="s">
        <v>526</v>
      </c>
      <c r="U71" s="11" t="s">
        <v>600</v>
      </c>
      <c r="V71" s="11">
        <v>3.5999999999999997E-2</v>
      </c>
      <c r="W71" s="11">
        <f t="shared" si="24"/>
        <v>18265.931999999997</v>
      </c>
      <c r="X71" s="11"/>
      <c r="Y71" s="11">
        <f t="shared" si="19"/>
        <v>0</v>
      </c>
      <c r="Z71" s="11">
        <f t="shared" si="20"/>
        <v>18265.931999999997</v>
      </c>
      <c r="AA71" s="11"/>
      <c r="AB71" s="11"/>
      <c r="AC71" s="11">
        <v>279062.84999999998</v>
      </c>
      <c r="AD71" s="11">
        <v>279062.84999999998</v>
      </c>
      <c r="AE71" s="11">
        <f t="shared" si="16"/>
        <v>0.54999999999999993</v>
      </c>
      <c r="AF71" s="11"/>
      <c r="AG71" s="11"/>
      <c r="AH71" s="11">
        <v>154000</v>
      </c>
      <c r="AI71" s="11"/>
      <c r="AJ71" s="11"/>
      <c r="AK71" s="11"/>
      <c r="AL71" s="11">
        <f t="shared" si="21"/>
        <v>154000</v>
      </c>
      <c r="AM71" s="11">
        <v>3.4000000000000002E-2</v>
      </c>
      <c r="AN71" s="11">
        <f t="shared" si="18"/>
        <v>17251.157999999999</v>
      </c>
      <c r="AO71" s="11"/>
      <c r="AP71" s="11">
        <f t="shared" si="22"/>
        <v>0</v>
      </c>
      <c r="AQ71" s="11">
        <f t="shared" si="23"/>
        <v>17251.157999999999</v>
      </c>
      <c r="AR71" s="11"/>
      <c r="AS71" s="11"/>
      <c r="AT71" s="11"/>
    </row>
    <row r="72" spans="1:46" x14ac:dyDescent="0.15">
      <c r="A72" s="54" t="s">
        <v>812</v>
      </c>
      <c r="B72" s="11" t="s">
        <v>759</v>
      </c>
      <c r="C72" s="11" t="s">
        <v>457</v>
      </c>
      <c r="D72" s="11" t="s">
        <v>835</v>
      </c>
      <c r="E72" s="11" t="s">
        <v>548</v>
      </c>
      <c r="F72" s="11"/>
      <c r="G72" s="11"/>
      <c r="H72" s="11" t="s">
        <v>763</v>
      </c>
      <c r="I72" s="11"/>
      <c r="J72" s="11"/>
      <c r="K72" s="11"/>
      <c r="L72" s="11"/>
      <c r="M72" s="11">
        <v>50000</v>
      </c>
      <c r="N72" s="11"/>
      <c r="O72" s="11"/>
      <c r="P72" s="11"/>
      <c r="Q72" s="11"/>
      <c r="R72" s="11"/>
      <c r="S72" s="11"/>
      <c r="T72" s="11" t="s">
        <v>526</v>
      </c>
      <c r="U72" s="11" t="s">
        <v>600</v>
      </c>
      <c r="V72" s="11">
        <v>8.5999999999999993E-2</v>
      </c>
      <c r="W72" s="11">
        <f t="shared" si="24"/>
        <v>4300</v>
      </c>
      <c r="X72" s="11"/>
      <c r="Y72" s="11">
        <f t="shared" si="19"/>
        <v>0</v>
      </c>
      <c r="Z72" s="11">
        <f t="shared" si="20"/>
        <v>4300</v>
      </c>
      <c r="AA72" s="11"/>
      <c r="AB72" s="11"/>
      <c r="AC72" s="11">
        <v>0</v>
      </c>
      <c r="AD72" s="11">
        <v>0</v>
      </c>
      <c r="AE72" s="11">
        <f t="shared" si="16"/>
        <v>0</v>
      </c>
      <c r="AF72" s="11"/>
      <c r="AG72" s="11"/>
      <c r="AH72" s="11"/>
      <c r="AI72" s="11"/>
      <c r="AJ72" s="11"/>
      <c r="AK72" s="11"/>
      <c r="AL72" s="11">
        <f t="shared" si="21"/>
        <v>0</v>
      </c>
      <c r="AM72" s="11">
        <v>3.4000000000000002E-2</v>
      </c>
      <c r="AN72" s="11">
        <f t="shared" si="18"/>
        <v>1700.0000000000002</v>
      </c>
      <c r="AO72" s="11"/>
      <c r="AP72" s="11">
        <f t="shared" si="22"/>
        <v>0</v>
      </c>
      <c r="AQ72" s="11">
        <f t="shared" si="23"/>
        <v>1700.0000000000002</v>
      </c>
      <c r="AR72" s="11"/>
      <c r="AS72" s="11"/>
      <c r="AT72" s="11"/>
    </row>
    <row r="73" spans="1:46" x14ac:dyDescent="0.15">
      <c r="A73" s="54" t="s">
        <v>812</v>
      </c>
      <c r="B73" s="11" t="s">
        <v>759</v>
      </c>
      <c r="C73" s="11" t="s">
        <v>413</v>
      </c>
      <c r="D73" s="11" t="s">
        <v>836</v>
      </c>
      <c r="E73" s="11" t="s">
        <v>548</v>
      </c>
      <c r="F73" s="11"/>
      <c r="G73" s="11"/>
      <c r="H73" s="11" t="s">
        <v>763</v>
      </c>
      <c r="I73" s="11"/>
      <c r="J73" s="11"/>
      <c r="K73" s="11"/>
      <c r="L73" s="11"/>
      <c r="M73" s="11">
        <v>80000</v>
      </c>
      <c r="N73" s="11"/>
      <c r="O73" s="11"/>
      <c r="P73" s="11"/>
      <c r="Q73" s="11"/>
      <c r="R73" s="11"/>
      <c r="S73" s="11"/>
      <c r="T73" s="11" t="s">
        <v>526</v>
      </c>
      <c r="U73" s="11" t="s">
        <v>600</v>
      </c>
      <c r="V73" s="11">
        <v>8.5999999999999993E-2</v>
      </c>
      <c r="W73" s="11">
        <f t="shared" si="24"/>
        <v>6879.9999999999991</v>
      </c>
      <c r="X73" s="11"/>
      <c r="Y73" s="11">
        <f t="shared" si="19"/>
        <v>0</v>
      </c>
      <c r="Z73" s="11">
        <f t="shared" si="20"/>
        <v>6879.9999999999991</v>
      </c>
      <c r="AA73" s="11"/>
      <c r="AB73" s="11"/>
      <c r="AC73" s="11">
        <v>0</v>
      </c>
      <c r="AD73" s="11">
        <v>0</v>
      </c>
      <c r="AE73" s="11">
        <f t="shared" si="16"/>
        <v>0</v>
      </c>
      <c r="AF73" s="11"/>
      <c r="AG73" s="11"/>
      <c r="AH73" s="11"/>
      <c r="AI73" s="11"/>
      <c r="AJ73" s="11"/>
      <c r="AK73" s="11"/>
      <c r="AL73" s="11">
        <f t="shared" si="21"/>
        <v>0</v>
      </c>
      <c r="AM73" s="11">
        <v>3.4000000000000002E-2</v>
      </c>
      <c r="AN73" s="11">
        <f t="shared" si="18"/>
        <v>2720</v>
      </c>
      <c r="AO73" s="11"/>
      <c r="AP73" s="11">
        <f t="shared" si="22"/>
        <v>0</v>
      </c>
      <c r="AQ73" s="11">
        <f t="shared" si="23"/>
        <v>2720</v>
      </c>
      <c r="AR73" s="11"/>
      <c r="AS73" s="11"/>
      <c r="AT73" s="11"/>
    </row>
    <row r="74" spans="1:46" x14ac:dyDescent="0.15">
      <c r="A74" s="54" t="s">
        <v>812</v>
      </c>
      <c r="B74" s="11" t="s">
        <v>682</v>
      </c>
      <c r="C74" s="11" t="s">
        <v>435</v>
      </c>
      <c r="D74" s="11" t="s">
        <v>837</v>
      </c>
      <c r="E74" s="11" t="s">
        <v>548</v>
      </c>
      <c r="F74" s="11"/>
      <c r="G74" s="11"/>
      <c r="H74" s="11" t="s">
        <v>687</v>
      </c>
      <c r="I74" s="11"/>
      <c r="J74" s="11"/>
      <c r="K74" s="11"/>
      <c r="L74" s="11"/>
      <c r="M74" s="11">
        <v>1108000</v>
      </c>
      <c r="N74" s="11"/>
      <c r="O74" s="11"/>
      <c r="P74" s="11"/>
      <c r="Q74" s="11"/>
      <c r="R74" s="11"/>
      <c r="S74" s="11"/>
      <c r="T74" s="11" t="s">
        <v>526</v>
      </c>
      <c r="U74" s="11" t="s">
        <v>600</v>
      </c>
      <c r="V74" s="11">
        <v>3.5999999999999997E-2</v>
      </c>
      <c r="W74" s="11">
        <f t="shared" si="24"/>
        <v>39888</v>
      </c>
      <c r="X74" s="11"/>
      <c r="Y74" s="11">
        <f t="shared" si="19"/>
        <v>0</v>
      </c>
      <c r="Z74" s="11">
        <f t="shared" si="20"/>
        <v>39888</v>
      </c>
      <c r="AA74" s="11"/>
      <c r="AB74" s="11"/>
      <c r="AC74" s="11">
        <v>150000</v>
      </c>
      <c r="AD74" s="11">
        <v>150000</v>
      </c>
      <c r="AE74" s="11">
        <f t="shared" si="16"/>
        <v>0.13537906137184116</v>
      </c>
      <c r="AF74" s="11"/>
      <c r="AG74" s="11"/>
      <c r="AH74" s="11">
        <v>137713</v>
      </c>
      <c r="AI74" s="11"/>
      <c r="AJ74" s="11"/>
      <c r="AK74" s="11"/>
      <c r="AL74" s="11">
        <f t="shared" si="21"/>
        <v>137713</v>
      </c>
      <c r="AM74" s="11">
        <v>3.4000000000000002E-2</v>
      </c>
      <c r="AN74" s="11">
        <f t="shared" si="18"/>
        <v>37672</v>
      </c>
      <c r="AO74" s="11">
        <v>30600</v>
      </c>
      <c r="AP74" s="11">
        <f t="shared" si="22"/>
        <v>30600</v>
      </c>
      <c r="AQ74" s="11">
        <f t="shared" si="23"/>
        <v>7072</v>
      </c>
      <c r="AR74" s="11"/>
      <c r="AS74" s="11"/>
      <c r="AT74" s="11"/>
    </row>
    <row r="75" spans="1:46" x14ac:dyDescent="0.15">
      <c r="A75" s="54" t="s">
        <v>812</v>
      </c>
      <c r="B75" s="11" t="s">
        <v>759</v>
      </c>
      <c r="C75" s="11" t="s">
        <v>391</v>
      </c>
      <c r="D75" s="11" t="s">
        <v>838</v>
      </c>
      <c r="E75" s="11" t="s">
        <v>548</v>
      </c>
      <c r="F75" s="11"/>
      <c r="G75" s="11"/>
      <c r="H75" s="11" t="s">
        <v>763</v>
      </c>
      <c r="I75" s="11"/>
      <c r="J75" s="11"/>
      <c r="K75" s="11"/>
      <c r="L75" s="11"/>
      <c r="M75" s="11">
        <v>50000</v>
      </c>
      <c r="N75" s="11"/>
      <c r="O75" s="11"/>
      <c r="P75" s="11"/>
      <c r="Q75" s="11"/>
      <c r="R75" s="11"/>
      <c r="S75" s="11"/>
      <c r="T75" s="11" t="s">
        <v>526</v>
      </c>
      <c r="U75" s="11" t="s">
        <v>710</v>
      </c>
      <c r="V75" s="11">
        <v>8.5999999999999993E-2</v>
      </c>
      <c r="W75" s="11">
        <f t="shared" si="24"/>
        <v>4300</v>
      </c>
      <c r="X75" s="11"/>
      <c r="Y75" s="11">
        <f t="shared" si="19"/>
        <v>0</v>
      </c>
      <c r="Z75" s="11">
        <f t="shared" si="20"/>
        <v>4300</v>
      </c>
      <c r="AA75" s="11"/>
      <c r="AB75" s="11"/>
      <c r="AC75" s="11">
        <v>0</v>
      </c>
      <c r="AD75" s="11">
        <v>0</v>
      </c>
      <c r="AE75" s="11">
        <f t="shared" si="16"/>
        <v>0</v>
      </c>
      <c r="AF75" s="11"/>
      <c r="AG75" s="11"/>
      <c r="AH75" s="11"/>
      <c r="AI75" s="11"/>
      <c r="AJ75" s="11"/>
      <c r="AK75" s="11"/>
      <c r="AL75" s="11">
        <f t="shared" si="21"/>
        <v>0</v>
      </c>
      <c r="AM75" s="11">
        <v>3.4000000000000002E-2</v>
      </c>
      <c r="AN75" s="11">
        <f t="shared" si="18"/>
        <v>1700.0000000000002</v>
      </c>
      <c r="AO75" s="11"/>
      <c r="AP75" s="11">
        <f t="shared" si="22"/>
        <v>0</v>
      </c>
      <c r="AQ75" s="11">
        <f t="shared" si="23"/>
        <v>1700.0000000000002</v>
      </c>
      <c r="AR75" s="11"/>
      <c r="AS75" s="11"/>
      <c r="AT75" s="11"/>
    </row>
    <row r="76" spans="1:46" x14ac:dyDescent="0.15">
      <c r="A76" s="54" t="s">
        <v>812</v>
      </c>
      <c r="B76" s="11" t="s">
        <v>759</v>
      </c>
      <c r="C76" s="11" t="s">
        <v>415</v>
      </c>
      <c r="D76" s="11" t="s">
        <v>839</v>
      </c>
      <c r="E76" s="11" t="s">
        <v>548</v>
      </c>
      <c r="F76" s="11"/>
      <c r="G76" s="11"/>
      <c r="H76" s="11" t="s">
        <v>786</v>
      </c>
      <c r="I76" s="11"/>
      <c r="J76" s="11"/>
      <c r="K76" s="11"/>
      <c r="L76" s="11"/>
      <c r="M76" s="11">
        <v>45000</v>
      </c>
      <c r="N76" s="11"/>
      <c r="O76" s="11"/>
      <c r="P76" s="11"/>
      <c r="Q76" s="11"/>
      <c r="R76" s="11"/>
      <c r="S76" s="11"/>
      <c r="T76" s="11" t="s">
        <v>526</v>
      </c>
      <c r="U76" s="11" t="s">
        <v>600</v>
      </c>
      <c r="V76" s="11">
        <v>8.5999999999999993E-2</v>
      </c>
      <c r="W76" s="11">
        <f t="shared" si="24"/>
        <v>3869.9999999999995</v>
      </c>
      <c r="X76" s="11"/>
      <c r="Y76" s="11">
        <f t="shared" si="19"/>
        <v>0</v>
      </c>
      <c r="Z76" s="11">
        <f t="shared" si="20"/>
        <v>3869.9999999999995</v>
      </c>
      <c r="AA76" s="11"/>
      <c r="AB76" s="11"/>
      <c r="AC76" s="11">
        <v>0</v>
      </c>
      <c r="AD76" s="11">
        <v>0</v>
      </c>
      <c r="AE76" s="11">
        <f t="shared" si="16"/>
        <v>0</v>
      </c>
      <c r="AF76" s="11"/>
      <c r="AG76" s="11"/>
      <c r="AH76" s="11"/>
      <c r="AI76" s="11"/>
      <c r="AJ76" s="11"/>
      <c r="AK76" s="11"/>
      <c r="AL76" s="11">
        <f t="shared" si="21"/>
        <v>0</v>
      </c>
      <c r="AM76" s="11">
        <v>3.4000000000000002E-2</v>
      </c>
      <c r="AN76" s="11">
        <f t="shared" si="18"/>
        <v>1530</v>
      </c>
      <c r="AO76" s="11"/>
      <c r="AP76" s="11">
        <f t="shared" si="22"/>
        <v>0</v>
      </c>
      <c r="AQ76" s="11">
        <f t="shared" si="23"/>
        <v>1530</v>
      </c>
      <c r="AR76" s="11"/>
      <c r="AS76" s="11"/>
      <c r="AT76" s="11"/>
    </row>
    <row r="77" spans="1:46" x14ac:dyDescent="0.15">
      <c r="A77" s="54" t="s">
        <v>812</v>
      </c>
      <c r="B77" s="11" t="s">
        <v>759</v>
      </c>
      <c r="C77" s="11" t="s">
        <v>439</v>
      </c>
      <c r="D77" s="11" t="s">
        <v>840</v>
      </c>
      <c r="E77" s="11" t="s">
        <v>548</v>
      </c>
      <c r="F77" s="11"/>
      <c r="G77" s="11"/>
      <c r="H77" s="11" t="s">
        <v>763</v>
      </c>
      <c r="I77" s="11"/>
      <c r="J77" s="11"/>
      <c r="K77" s="11"/>
      <c r="L77" s="11"/>
      <c r="M77" s="11">
        <v>2063932</v>
      </c>
      <c r="N77" s="11"/>
      <c r="O77" s="11"/>
      <c r="P77" s="11"/>
      <c r="Q77" s="11"/>
      <c r="R77" s="11"/>
      <c r="S77" s="11"/>
      <c r="T77" s="11" t="s">
        <v>526</v>
      </c>
      <c r="U77" s="11" t="s">
        <v>600</v>
      </c>
      <c r="V77" s="11">
        <v>8.5999999999999993E-2</v>
      </c>
      <c r="W77" s="11">
        <f t="shared" si="24"/>
        <v>177498.15199999997</v>
      </c>
      <c r="X77" s="11"/>
      <c r="Y77" s="11">
        <f t="shared" si="19"/>
        <v>0</v>
      </c>
      <c r="Z77" s="11">
        <f t="shared" si="20"/>
        <v>177498.15199999997</v>
      </c>
      <c r="AA77" s="11"/>
      <c r="AB77" s="11"/>
      <c r="AC77" s="11">
        <v>309589.8</v>
      </c>
      <c r="AD77" s="11">
        <v>309589.8</v>
      </c>
      <c r="AE77" s="11">
        <f t="shared" si="16"/>
        <v>0.15</v>
      </c>
      <c r="AF77" s="11"/>
      <c r="AG77" s="11"/>
      <c r="AH77" s="11">
        <v>309589.8</v>
      </c>
      <c r="AI77" s="11"/>
      <c r="AJ77" s="11"/>
      <c r="AK77" s="11"/>
      <c r="AL77" s="11">
        <f t="shared" si="21"/>
        <v>309589.8</v>
      </c>
      <c r="AM77" s="11">
        <v>3.4000000000000002E-2</v>
      </c>
      <c r="AN77" s="11">
        <f t="shared" si="18"/>
        <v>70173.688000000009</v>
      </c>
      <c r="AO77" s="11"/>
      <c r="AP77" s="11">
        <f t="shared" si="22"/>
        <v>0</v>
      </c>
      <c r="AQ77" s="11">
        <f t="shared" si="23"/>
        <v>70173.688000000009</v>
      </c>
      <c r="AR77" s="11"/>
      <c r="AS77" s="11"/>
      <c r="AT77" s="11"/>
    </row>
    <row r="78" spans="1:46" x14ac:dyDescent="0.15">
      <c r="A78" s="54" t="s">
        <v>812</v>
      </c>
      <c r="B78" s="11" t="s">
        <v>841</v>
      </c>
      <c r="C78" s="11" t="s">
        <v>395</v>
      </c>
      <c r="D78" s="11" t="s">
        <v>842</v>
      </c>
      <c r="E78" s="11" t="s">
        <v>548</v>
      </c>
      <c r="F78" s="11"/>
      <c r="G78" s="11"/>
      <c r="H78" s="11" t="s">
        <v>843</v>
      </c>
      <c r="I78" s="11"/>
      <c r="J78" s="11"/>
      <c r="K78" s="11"/>
      <c r="L78" s="11"/>
      <c r="M78" s="11">
        <v>304724.28999999998</v>
      </c>
      <c r="N78" s="11"/>
      <c r="O78" s="11"/>
      <c r="P78" s="11"/>
      <c r="Q78" s="11"/>
      <c r="R78" s="11"/>
      <c r="S78" s="11"/>
      <c r="T78" s="11" t="s">
        <v>526</v>
      </c>
      <c r="U78" s="11" t="s">
        <v>600</v>
      </c>
      <c r="V78" s="11">
        <v>3.5999999999999997E-2</v>
      </c>
      <c r="W78" s="11">
        <f t="shared" si="24"/>
        <v>10970.074439999999</v>
      </c>
      <c r="X78" s="11"/>
      <c r="Y78" s="11">
        <f t="shared" si="19"/>
        <v>0</v>
      </c>
      <c r="Z78" s="11">
        <f t="shared" si="20"/>
        <v>10970.074439999999</v>
      </c>
      <c r="AA78" s="11"/>
      <c r="AB78" s="11"/>
      <c r="AC78" s="11">
        <v>2073</v>
      </c>
      <c r="AD78" s="11">
        <v>2073</v>
      </c>
      <c r="AE78" s="11">
        <f t="shared" si="16"/>
        <v>6.8028708837093365E-3</v>
      </c>
      <c r="AF78" s="11"/>
      <c r="AG78" s="11"/>
      <c r="AH78" s="11"/>
      <c r="AI78" s="11"/>
      <c r="AJ78" s="11"/>
      <c r="AK78" s="11"/>
      <c r="AL78" s="11">
        <f t="shared" si="21"/>
        <v>0</v>
      </c>
      <c r="AM78" s="11">
        <v>3.4000000000000002E-2</v>
      </c>
      <c r="AN78" s="11">
        <f t="shared" si="18"/>
        <v>10360.62586</v>
      </c>
      <c r="AO78" s="11">
        <v>2073</v>
      </c>
      <c r="AP78" s="11">
        <f t="shared" si="22"/>
        <v>2073</v>
      </c>
      <c r="AQ78" s="11">
        <f t="shared" si="23"/>
        <v>8287.6258600000001</v>
      </c>
      <c r="AR78" s="11"/>
      <c r="AS78" s="11"/>
      <c r="AT78" s="11"/>
    </row>
    <row r="79" spans="1:46" x14ac:dyDescent="0.15">
      <c r="A79" s="54" t="s">
        <v>812</v>
      </c>
      <c r="B79" s="11" t="s">
        <v>553</v>
      </c>
      <c r="C79" s="11" t="s">
        <v>421</v>
      </c>
      <c r="D79" s="11" t="s">
        <v>844</v>
      </c>
      <c r="E79" s="11" t="s">
        <v>548</v>
      </c>
      <c r="F79" s="11"/>
      <c r="G79" s="11"/>
      <c r="H79" s="11" t="s">
        <v>845</v>
      </c>
      <c r="I79" s="11"/>
      <c r="J79" s="11"/>
      <c r="K79" s="11"/>
      <c r="L79" s="11"/>
      <c r="M79" s="11">
        <v>737750</v>
      </c>
      <c r="N79" s="11"/>
      <c r="O79" s="11"/>
      <c r="P79" s="11"/>
      <c r="Q79" s="11"/>
      <c r="R79" s="11"/>
      <c r="S79" s="11"/>
      <c r="T79" s="11" t="s">
        <v>526</v>
      </c>
      <c r="U79" s="11" t="s">
        <v>600</v>
      </c>
      <c r="V79" s="11">
        <v>8.5999999999999993E-2</v>
      </c>
      <c r="W79" s="11">
        <f t="shared" si="24"/>
        <v>63446.499999999993</v>
      </c>
      <c r="X79" s="11"/>
      <c r="Y79" s="11">
        <f t="shared" si="19"/>
        <v>0</v>
      </c>
      <c r="Z79" s="11">
        <f t="shared" si="20"/>
        <v>63446.499999999993</v>
      </c>
      <c r="AA79" s="11"/>
      <c r="AB79" s="11"/>
      <c r="AC79" s="11">
        <v>0</v>
      </c>
      <c r="AD79" s="11">
        <v>0</v>
      </c>
      <c r="AE79" s="11">
        <f t="shared" si="16"/>
        <v>0</v>
      </c>
      <c r="AF79" s="11"/>
      <c r="AG79" s="11"/>
      <c r="AH79" s="11"/>
      <c r="AI79" s="11"/>
      <c r="AJ79" s="11"/>
      <c r="AK79" s="11"/>
      <c r="AL79" s="11">
        <f t="shared" si="21"/>
        <v>0</v>
      </c>
      <c r="AM79" s="11">
        <v>3.4000000000000002E-2</v>
      </c>
      <c r="AN79" s="11">
        <f t="shared" si="18"/>
        <v>25083.5</v>
      </c>
      <c r="AO79" s="11"/>
      <c r="AP79" s="11">
        <f t="shared" si="22"/>
        <v>0</v>
      </c>
      <c r="AQ79" s="11">
        <f t="shared" si="23"/>
        <v>25083.5</v>
      </c>
      <c r="AR79" s="11"/>
      <c r="AS79" s="11"/>
      <c r="AT79" s="11"/>
    </row>
    <row r="80" spans="1:46" x14ac:dyDescent="0.15">
      <c r="A80" s="54" t="s">
        <v>812</v>
      </c>
      <c r="B80" s="11" t="s">
        <v>759</v>
      </c>
      <c r="C80" s="11" t="s">
        <v>437</v>
      </c>
      <c r="D80" s="11" t="s">
        <v>846</v>
      </c>
      <c r="E80" s="11" t="s">
        <v>548</v>
      </c>
      <c r="F80" s="11"/>
      <c r="G80" s="11"/>
      <c r="H80" s="11" t="s">
        <v>763</v>
      </c>
      <c r="I80" s="11"/>
      <c r="J80" s="11"/>
      <c r="K80" s="11"/>
      <c r="L80" s="11"/>
      <c r="M80" s="11">
        <v>50000</v>
      </c>
      <c r="N80" s="11"/>
      <c r="O80" s="11"/>
      <c r="P80" s="11"/>
      <c r="Q80" s="11"/>
      <c r="R80" s="11"/>
      <c r="S80" s="11"/>
      <c r="T80" s="11" t="s">
        <v>526</v>
      </c>
      <c r="U80" s="11" t="s">
        <v>600</v>
      </c>
      <c r="V80" s="11">
        <v>8.5999999999999993E-2</v>
      </c>
      <c r="W80" s="11">
        <f t="shared" si="24"/>
        <v>4300</v>
      </c>
      <c r="X80" s="11"/>
      <c r="Y80" s="11">
        <f t="shared" si="19"/>
        <v>0</v>
      </c>
      <c r="Z80" s="11">
        <f t="shared" si="20"/>
        <v>4300</v>
      </c>
      <c r="AA80" s="11"/>
      <c r="AB80" s="11"/>
      <c r="AC80" s="11">
        <v>0</v>
      </c>
      <c r="AD80" s="11">
        <v>0</v>
      </c>
      <c r="AE80" s="11">
        <f t="shared" si="16"/>
        <v>0</v>
      </c>
      <c r="AF80" s="11"/>
      <c r="AG80" s="11"/>
      <c r="AH80" s="11"/>
      <c r="AI80" s="11"/>
      <c r="AJ80" s="11"/>
      <c r="AK80" s="11"/>
      <c r="AL80" s="11">
        <f t="shared" si="21"/>
        <v>0</v>
      </c>
      <c r="AM80" s="11">
        <v>3.4000000000000002E-2</v>
      </c>
      <c r="AN80" s="11">
        <f t="shared" si="18"/>
        <v>1700.0000000000002</v>
      </c>
      <c r="AO80" s="11"/>
      <c r="AP80" s="11">
        <f t="shared" si="22"/>
        <v>0</v>
      </c>
      <c r="AQ80" s="11">
        <f t="shared" si="23"/>
        <v>1700.0000000000002</v>
      </c>
      <c r="AR80" s="11"/>
      <c r="AS80" s="11"/>
      <c r="AT80" s="11"/>
    </row>
    <row r="81" spans="1:46" x14ac:dyDescent="0.15">
      <c r="A81" s="54" t="s">
        <v>812</v>
      </c>
      <c r="B81" s="11" t="s">
        <v>824</v>
      </c>
      <c r="C81" s="11" t="s">
        <v>393</v>
      </c>
      <c r="D81" s="11" t="s">
        <v>847</v>
      </c>
      <c r="E81" s="11" t="s">
        <v>548</v>
      </c>
      <c r="F81" s="11"/>
      <c r="G81" s="11"/>
      <c r="H81" s="11" t="s">
        <v>826</v>
      </c>
      <c r="I81" s="11"/>
      <c r="J81" s="11"/>
      <c r="K81" s="11"/>
      <c r="L81" s="11"/>
      <c r="M81" s="11">
        <v>8649410.8000000007</v>
      </c>
      <c r="N81" s="11"/>
      <c r="O81" s="11"/>
      <c r="P81" s="11"/>
      <c r="Q81" s="11"/>
      <c r="R81" s="11"/>
      <c r="S81" s="11"/>
      <c r="T81" s="11" t="s">
        <v>526</v>
      </c>
      <c r="U81" s="11" t="s">
        <v>600</v>
      </c>
      <c r="V81" s="11">
        <v>0.03</v>
      </c>
      <c r="W81" s="11">
        <f t="shared" si="24"/>
        <v>259482.32400000002</v>
      </c>
      <c r="X81" s="11"/>
      <c r="Y81" s="11">
        <f t="shared" si="19"/>
        <v>0</v>
      </c>
      <c r="Z81" s="11">
        <f t="shared" si="20"/>
        <v>259482.32400000002</v>
      </c>
      <c r="AA81" s="11"/>
      <c r="AB81" s="11"/>
      <c r="AC81" s="11">
        <v>7657.4</v>
      </c>
      <c r="AD81" s="11">
        <v>7657.4</v>
      </c>
      <c r="AE81" s="11">
        <f t="shared" si="16"/>
        <v>8.8530885826350152E-4</v>
      </c>
      <c r="AF81" s="11"/>
      <c r="AG81" s="11"/>
      <c r="AH81" s="11">
        <v>439657.4</v>
      </c>
      <c r="AI81" s="11"/>
      <c r="AJ81" s="11"/>
      <c r="AK81" s="11"/>
      <c r="AL81" s="11">
        <f t="shared" si="21"/>
        <v>439657.4</v>
      </c>
      <c r="AM81" s="11">
        <v>3.4000000000000002E-2</v>
      </c>
      <c r="AN81" s="11">
        <f t="shared" si="18"/>
        <v>294079.96720000007</v>
      </c>
      <c r="AO81" s="11"/>
      <c r="AP81" s="11">
        <f t="shared" si="22"/>
        <v>0</v>
      </c>
      <c r="AQ81" s="11">
        <f t="shared" si="23"/>
        <v>294079.96720000007</v>
      </c>
      <c r="AR81" s="11"/>
      <c r="AS81" s="11"/>
      <c r="AT81" s="11"/>
    </row>
    <row r="82" spans="1:46" x14ac:dyDescent="0.15">
      <c r="A82" s="54" t="s">
        <v>812</v>
      </c>
      <c r="B82" s="11" t="s">
        <v>841</v>
      </c>
      <c r="C82" s="11" t="s">
        <v>419</v>
      </c>
      <c r="D82" s="11" t="s">
        <v>848</v>
      </c>
      <c r="E82" s="11" t="s">
        <v>548</v>
      </c>
      <c r="F82" s="11"/>
      <c r="G82" s="11"/>
      <c r="H82" s="11" t="s">
        <v>843</v>
      </c>
      <c r="I82" s="11"/>
      <c r="J82" s="11"/>
      <c r="K82" s="11"/>
      <c r="L82" s="11"/>
      <c r="M82" s="11">
        <v>660000</v>
      </c>
      <c r="N82" s="11"/>
      <c r="O82" s="11"/>
      <c r="P82" s="11"/>
      <c r="Q82" s="11"/>
      <c r="R82" s="11"/>
      <c r="S82" s="11"/>
      <c r="T82" s="11" t="s">
        <v>526</v>
      </c>
      <c r="U82" s="11" t="s">
        <v>600</v>
      </c>
      <c r="V82" s="11">
        <v>3.5999999999999997E-2</v>
      </c>
      <c r="W82" s="11">
        <f t="shared" si="24"/>
        <v>23760</v>
      </c>
      <c r="X82" s="11"/>
      <c r="Y82" s="11">
        <f t="shared" si="19"/>
        <v>0</v>
      </c>
      <c r="Z82" s="11">
        <f t="shared" si="20"/>
        <v>23760</v>
      </c>
      <c r="AA82" s="11"/>
      <c r="AB82" s="11"/>
      <c r="AC82" s="11">
        <v>198000</v>
      </c>
      <c r="AD82" s="11">
        <v>198000</v>
      </c>
      <c r="AE82" s="11">
        <f t="shared" si="16"/>
        <v>0.3</v>
      </c>
      <c r="AF82" s="11"/>
      <c r="AG82" s="11"/>
      <c r="AH82" s="11">
        <v>151800</v>
      </c>
      <c r="AI82" s="11"/>
      <c r="AJ82" s="11"/>
      <c r="AK82" s="11"/>
      <c r="AL82" s="11">
        <f t="shared" si="21"/>
        <v>151800</v>
      </c>
      <c r="AM82" s="11">
        <v>3.4000000000000002E-2</v>
      </c>
      <c r="AN82" s="11">
        <f t="shared" si="18"/>
        <v>22440</v>
      </c>
      <c r="AO82" s="11">
        <v>6732</v>
      </c>
      <c r="AP82" s="11">
        <f t="shared" si="22"/>
        <v>6732</v>
      </c>
      <c r="AQ82" s="11">
        <f t="shared" si="23"/>
        <v>15708</v>
      </c>
      <c r="AR82" s="11"/>
      <c r="AS82" s="11"/>
      <c r="AT82" s="11"/>
    </row>
    <row r="83" spans="1:46" x14ac:dyDescent="0.15">
      <c r="A83" s="54" t="s">
        <v>812</v>
      </c>
      <c r="B83" s="11" t="s">
        <v>759</v>
      </c>
      <c r="C83" s="11" t="s">
        <v>443</v>
      </c>
      <c r="D83" s="11" t="s">
        <v>849</v>
      </c>
      <c r="E83" s="11" t="s">
        <v>548</v>
      </c>
      <c r="F83" s="11"/>
      <c r="G83" s="11"/>
      <c r="H83" s="11" t="s">
        <v>763</v>
      </c>
      <c r="I83" s="11"/>
      <c r="J83" s="11"/>
      <c r="K83" s="11"/>
      <c r="L83" s="11"/>
      <c r="M83" s="11">
        <v>248000</v>
      </c>
      <c r="N83" s="11"/>
      <c r="O83" s="11"/>
      <c r="P83" s="11"/>
      <c r="Q83" s="11"/>
      <c r="R83" s="11"/>
      <c r="S83" s="11"/>
      <c r="T83" s="11" t="s">
        <v>526</v>
      </c>
      <c r="U83" s="11" t="s">
        <v>600</v>
      </c>
      <c r="V83" s="11">
        <v>8.5999999999999993E-2</v>
      </c>
      <c r="W83" s="11">
        <f>M83*V83</f>
        <v>21328</v>
      </c>
      <c r="X83" s="11"/>
      <c r="Y83" s="11">
        <f t="shared" si="19"/>
        <v>0</v>
      </c>
      <c r="Z83" s="11">
        <f t="shared" si="20"/>
        <v>21328</v>
      </c>
      <c r="AA83" s="11"/>
      <c r="AB83" s="11"/>
      <c r="AC83" s="11">
        <v>0</v>
      </c>
      <c r="AD83" s="11">
        <v>0</v>
      </c>
      <c r="AE83" s="11">
        <f t="shared" si="16"/>
        <v>0</v>
      </c>
      <c r="AF83" s="11"/>
      <c r="AG83" s="11"/>
      <c r="AH83" s="11"/>
      <c r="AI83" s="11"/>
      <c r="AJ83" s="11"/>
      <c r="AK83" s="11"/>
      <c r="AL83" s="11">
        <f t="shared" si="21"/>
        <v>0</v>
      </c>
      <c r="AM83" s="11">
        <v>3.4000000000000002E-2</v>
      </c>
      <c r="AN83" s="11">
        <f t="shared" si="18"/>
        <v>8432</v>
      </c>
      <c r="AO83" s="11"/>
      <c r="AP83" s="11">
        <f t="shared" si="22"/>
        <v>0</v>
      </c>
      <c r="AQ83" s="11">
        <f t="shared" si="23"/>
        <v>8432</v>
      </c>
      <c r="AR83" s="11"/>
      <c r="AS83" s="11"/>
      <c r="AT83" s="11"/>
    </row>
    <row r="84" spans="1:46" x14ac:dyDescent="0.15">
      <c r="A84" s="54" t="s">
        <v>812</v>
      </c>
      <c r="B84" s="11" t="s">
        <v>824</v>
      </c>
      <c r="C84" s="11" t="s">
        <v>399</v>
      </c>
      <c r="D84" s="11" t="s">
        <v>850</v>
      </c>
      <c r="E84" s="11" t="s">
        <v>548</v>
      </c>
      <c r="F84" s="11"/>
      <c r="G84" s="11"/>
      <c r="H84" s="11" t="s">
        <v>826</v>
      </c>
      <c r="I84" s="11"/>
      <c r="J84" s="11"/>
      <c r="K84" s="11"/>
      <c r="L84" s="11"/>
      <c r="M84" s="11">
        <v>465000</v>
      </c>
      <c r="N84" s="11"/>
      <c r="O84" s="11"/>
      <c r="P84" s="11"/>
      <c r="Q84" s="11"/>
      <c r="R84" s="11"/>
      <c r="S84" s="11"/>
      <c r="T84" s="11" t="s">
        <v>526</v>
      </c>
      <c r="U84" s="11" t="s">
        <v>600</v>
      </c>
      <c r="V84" s="11">
        <v>3.5999999999999997E-2</v>
      </c>
      <c r="W84" s="11">
        <f t="shared" si="24"/>
        <v>16740</v>
      </c>
      <c r="X84" s="11"/>
      <c r="Y84" s="11">
        <f t="shared" si="19"/>
        <v>0</v>
      </c>
      <c r="Z84" s="11">
        <f t="shared" si="20"/>
        <v>16740</v>
      </c>
      <c r="AA84" s="11"/>
      <c r="AB84" s="11"/>
      <c r="AC84" s="11">
        <v>4743</v>
      </c>
      <c r="AD84" s="11">
        <v>4743</v>
      </c>
      <c r="AE84" s="11">
        <f t="shared" si="16"/>
        <v>1.0200000000000001E-2</v>
      </c>
      <c r="AF84" s="11"/>
      <c r="AG84" s="11"/>
      <c r="AH84" s="11"/>
      <c r="AI84" s="11"/>
      <c r="AJ84" s="11"/>
      <c r="AK84" s="11"/>
      <c r="AL84" s="11">
        <f t="shared" si="21"/>
        <v>0</v>
      </c>
      <c r="AM84" s="11">
        <v>3.4000000000000002E-2</v>
      </c>
      <c r="AN84" s="11">
        <f t="shared" si="18"/>
        <v>15810.000000000002</v>
      </c>
      <c r="AO84" s="11">
        <v>4743</v>
      </c>
      <c r="AP84" s="11">
        <f t="shared" si="22"/>
        <v>4743</v>
      </c>
      <c r="AQ84" s="11">
        <f t="shared" si="23"/>
        <v>11067.000000000002</v>
      </c>
      <c r="AR84" s="11"/>
      <c r="AS84" s="11"/>
      <c r="AT84" s="11"/>
    </row>
    <row r="85" spans="1:46" x14ac:dyDescent="0.15">
      <c r="A85" s="54" t="s">
        <v>812</v>
      </c>
      <c r="B85" s="11" t="s">
        <v>759</v>
      </c>
      <c r="C85" s="11" t="s">
        <v>423</v>
      </c>
      <c r="D85" s="11" t="s">
        <v>851</v>
      </c>
      <c r="E85" s="11" t="s">
        <v>548</v>
      </c>
      <c r="F85" s="11"/>
      <c r="G85" s="11"/>
      <c r="H85" s="11" t="s">
        <v>763</v>
      </c>
      <c r="I85" s="11"/>
      <c r="J85" s="11"/>
      <c r="K85" s="11"/>
      <c r="L85" s="11"/>
      <c r="M85" s="11">
        <v>65000</v>
      </c>
      <c r="N85" s="11"/>
      <c r="O85" s="11"/>
      <c r="P85" s="11"/>
      <c r="Q85" s="11"/>
      <c r="R85" s="11"/>
      <c r="S85" s="11"/>
      <c r="T85" s="11" t="s">
        <v>526</v>
      </c>
      <c r="U85" s="11" t="s">
        <v>600</v>
      </c>
      <c r="V85" s="11">
        <v>8.5999999999999993E-2</v>
      </c>
      <c r="W85" s="11">
        <f t="shared" si="24"/>
        <v>5590</v>
      </c>
      <c r="X85" s="11"/>
      <c r="Y85" s="11">
        <f t="shared" si="19"/>
        <v>0</v>
      </c>
      <c r="Z85" s="11">
        <f t="shared" si="20"/>
        <v>5590</v>
      </c>
      <c r="AA85" s="11"/>
      <c r="AB85" s="11"/>
      <c r="AC85" s="11">
        <v>0</v>
      </c>
      <c r="AD85" s="11">
        <v>0</v>
      </c>
      <c r="AE85" s="11">
        <f t="shared" si="16"/>
        <v>0</v>
      </c>
      <c r="AF85" s="11"/>
      <c r="AG85" s="11"/>
      <c r="AH85" s="11"/>
      <c r="AI85" s="11"/>
      <c r="AJ85" s="11"/>
      <c r="AK85" s="11"/>
      <c r="AL85" s="11">
        <f t="shared" si="21"/>
        <v>0</v>
      </c>
      <c r="AM85" s="11">
        <v>3.4000000000000002E-2</v>
      </c>
      <c r="AN85" s="11">
        <f t="shared" si="18"/>
        <v>2210</v>
      </c>
      <c r="AO85" s="11"/>
      <c r="AP85" s="11">
        <f t="shared" si="22"/>
        <v>0</v>
      </c>
      <c r="AQ85" s="11">
        <f t="shared" si="23"/>
        <v>2210</v>
      </c>
      <c r="AR85" s="11"/>
      <c r="AS85" s="11"/>
      <c r="AT85" s="11"/>
    </row>
    <row r="86" spans="1:46" x14ac:dyDescent="0.15">
      <c r="A86" s="54" t="s">
        <v>812</v>
      </c>
      <c r="B86" s="11" t="s">
        <v>642</v>
      </c>
      <c r="C86" s="11" t="s">
        <v>852</v>
      </c>
      <c r="D86" s="11" t="s">
        <v>853</v>
      </c>
      <c r="E86" s="11" t="s">
        <v>548</v>
      </c>
      <c r="F86" s="11"/>
      <c r="G86" s="11"/>
      <c r="H86" s="11" t="s">
        <v>646</v>
      </c>
      <c r="I86" s="11"/>
      <c r="J86" s="11"/>
      <c r="K86" s="11"/>
      <c r="L86" s="11"/>
      <c r="M86" s="11">
        <v>967901.04</v>
      </c>
      <c r="N86" s="11"/>
      <c r="O86" s="11"/>
      <c r="P86" s="11"/>
      <c r="Q86" s="11"/>
      <c r="R86" s="11"/>
      <c r="S86" s="11"/>
      <c r="T86" s="11" t="s">
        <v>526</v>
      </c>
      <c r="U86" s="11" t="s">
        <v>600</v>
      </c>
      <c r="V86" s="11">
        <v>3.5999999999999997E-2</v>
      </c>
      <c r="W86" s="11">
        <f t="shared" si="24"/>
        <v>34844.437440000002</v>
      </c>
      <c r="X86" s="11"/>
      <c r="Y86" s="11">
        <f t="shared" si="19"/>
        <v>0</v>
      </c>
      <c r="Z86" s="11">
        <f t="shared" si="20"/>
        <v>34844.437440000002</v>
      </c>
      <c r="AA86" s="11"/>
      <c r="AB86" s="11"/>
      <c r="AC86" s="11">
        <v>0</v>
      </c>
      <c r="AD86" s="11">
        <v>0</v>
      </c>
      <c r="AE86" s="11">
        <f t="shared" si="16"/>
        <v>0</v>
      </c>
      <c r="AF86" s="11"/>
      <c r="AG86" s="11"/>
      <c r="AH86" s="11"/>
      <c r="AI86" s="11"/>
      <c r="AJ86" s="11"/>
      <c r="AK86" s="11"/>
      <c r="AL86" s="11">
        <f t="shared" si="21"/>
        <v>0</v>
      </c>
      <c r="AM86" s="11"/>
      <c r="AN86" s="11">
        <f t="shared" si="18"/>
        <v>0</v>
      </c>
      <c r="AO86" s="11"/>
      <c r="AP86" s="11">
        <f t="shared" si="22"/>
        <v>0</v>
      </c>
      <c r="AQ86" s="11">
        <f t="shared" si="23"/>
        <v>0</v>
      </c>
      <c r="AR86" s="11"/>
      <c r="AS86" s="11"/>
      <c r="AT86" s="11"/>
    </row>
    <row r="87" spans="1:46" s="73" customFormat="1" x14ac:dyDescent="0.15">
      <c r="A87" s="67">
        <v>39508</v>
      </c>
      <c r="B87" s="68" t="s">
        <v>854</v>
      </c>
      <c r="C87" s="68" t="s">
        <v>855</v>
      </c>
      <c r="D87" s="68" t="s">
        <v>856</v>
      </c>
      <c r="E87" s="68" t="s">
        <v>857</v>
      </c>
      <c r="F87" s="68" t="s">
        <v>858</v>
      </c>
      <c r="G87" s="68" t="s">
        <v>859</v>
      </c>
      <c r="H87" s="68" t="s">
        <v>860</v>
      </c>
      <c r="I87" s="68" t="s">
        <v>861</v>
      </c>
      <c r="J87" s="68" t="s">
        <v>860</v>
      </c>
      <c r="K87" s="68" t="s">
        <v>862</v>
      </c>
      <c r="L87" s="68"/>
      <c r="M87" s="68">
        <v>3950000</v>
      </c>
      <c r="N87" s="68">
        <f>140773+22870.2+451018.96+223732.46</f>
        <v>838394.62</v>
      </c>
      <c r="O87" s="68"/>
      <c r="P87" s="68">
        <f>4208332+388632</f>
        <v>4596964</v>
      </c>
      <c r="Q87" s="69"/>
      <c r="R87" s="70"/>
      <c r="S87" s="68"/>
      <c r="T87" s="68"/>
      <c r="U87" s="68" t="s">
        <v>863</v>
      </c>
      <c r="V87" s="71">
        <v>3.5999999999999997E-2</v>
      </c>
      <c r="W87" s="68">
        <f>(M87+N87)*V87</f>
        <v>172382.20632</v>
      </c>
      <c r="X87" s="68">
        <f>142200+10621+823+16237+9300</f>
        <v>179181</v>
      </c>
      <c r="Y87" s="68">
        <f>179181</f>
        <v>179181</v>
      </c>
      <c r="Z87" s="68"/>
      <c r="AA87" s="68">
        <f>88505+592500+88505+22873.5+86450+651866+473865+894158+419186+429386+366348.7+642694+210417+19432</f>
        <v>4986186.2</v>
      </c>
      <c r="AB87" s="68">
        <f>4986186.2</f>
        <v>4986186.2</v>
      </c>
      <c r="AC87" s="68">
        <v>4986186.2</v>
      </c>
      <c r="AD87" s="68">
        <v>4986186.2</v>
      </c>
      <c r="AE87" s="72">
        <f>AC87/(N87+P87)</f>
        <v>0.91736103330013574</v>
      </c>
      <c r="AF87" s="68">
        <f>88505+200000+200000+3787+300091.5+86450+472781.98+179084.02+393962.8+32825.62+23195.8+506882.01+218660+39215.22+14252+75417.35+54945+28213+31795.83+67200+2992.04+748273.77+7017+23457.17+221643+22730.9+21852+14400+540240.38+17374.14+69261+25016.14+199994.5</f>
        <v>4931516.17</v>
      </c>
      <c r="AG87" s="68">
        <f>4931516.17</f>
        <v>4931516.17</v>
      </c>
      <c r="AH87" s="68">
        <f>88505+200000+200000+3787+300091.5+86450+472781.98+179084.02+393962.8+32825.62+23195.8+506882.01+218660+39215.22+14252+75417.35+54945+28213+31795.83+67200+2992.04+748273.77+7017+23457.17+221643+22730.9+21852+14400+540240.38+17374.14+69261+25016.14+7154+199994.5+661+30000+10000</f>
        <v>4979331.17</v>
      </c>
      <c r="AI87" s="68"/>
      <c r="AJ87" s="68"/>
      <c r="AK87" s="68"/>
      <c r="AL87" s="68">
        <f>4969331.17+10000</f>
        <v>4979331.17</v>
      </c>
      <c r="AM87" s="71">
        <v>3.4000000000000002E-2</v>
      </c>
      <c r="AN87" s="71">
        <f>AB87*AM87</f>
        <v>169530.33080000003</v>
      </c>
      <c r="AO87" s="68">
        <f>3009+20145+3009+778+2939+22163+16111+30401+14252+14599+12456+21852+7154+661</f>
        <v>169529</v>
      </c>
      <c r="AP87" s="68">
        <f>169529</f>
        <v>169529</v>
      </c>
      <c r="AQ87" s="68">
        <v>0</v>
      </c>
      <c r="AR87" s="68"/>
      <c r="AS87" s="68"/>
      <c r="AT87" s="68"/>
    </row>
    <row r="88" spans="1:46" x14ac:dyDescent="0.15">
      <c r="A88" s="54">
        <v>40283</v>
      </c>
      <c r="B88" s="11" t="s">
        <v>864</v>
      </c>
      <c r="C88" s="11" t="s">
        <v>865</v>
      </c>
      <c r="D88" s="11" t="s">
        <v>866</v>
      </c>
      <c r="E88" s="11" t="s">
        <v>857</v>
      </c>
      <c r="F88" s="11" t="s">
        <v>867</v>
      </c>
      <c r="G88" s="11" t="s">
        <v>859</v>
      </c>
      <c r="H88" s="11" t="s">
        <v>868</v>
      </c>
      <c r="I88" s="11" t="s">
        <v>869</v>
      </c>
      <c r="J88" s="11" t="s">
        <v>868</v>
      </c>
      <c r="K88" s="11" t="s">
        <v>862</v>
      </c>
      <c r="L88" s="11"/>
      <c r="M88" s="11">
        <v>4300000</v>
      </c>
      <c r="N88" s="11"/>
      <c r="O88" s="11"/>
      <c r="P88" s="11"/>
      <c r="Q88" s="15"/>
      <c r="R88" s="16"/>
      <c r="S88" s="11"/>
      <c r="T88" s="11"/>
      <c r="U88" s="11" t="s">
        <v>863</v>
      </c>
      <c r="V88" s="17">
        <v>3.5999999999999997E-2</v>
      </c>
      <c r="W88" s="11">
        <f t="shared" ref="W88" si="25">(M88+N88)*V88</f>
        <v>154800</v>
      </c>
      <c r="X88" s="11">
        <f>154800</f>
        <v>154800</v>
      </c>
      <c r="Y88" s="11">
        <f>154800</f>
        <v>154800</v>
      </c>
      <c r="Z88" s="11">
        <v>0</v>
      </c>
      <c r="AA88" s="11">
        <f>860000+1290000+1290000+200000+200000+100000</f>
        <v>3940000</v>
      </c>
      <c r="AB88" s="11">
        <f>3940000</f>
        <v>3940000</v>
      </c>
      <c r="AC88" s="11">
        <v>3940000</v>
      </c>
      <c r="AD88" s="11">
        <v>3940000</v>
      </c>
      <c r="AE88" s="18">
        <f>AC88/(N88+M88)</f>
        <v>0.91627906976744189</v>
      </c>
      <c r="AF88" s="11">
        <f>3354+450000+199568+207078+692057.4+200000+133102+204980+437720+100000+373359.5+350000+40000+123750+100000+200000</f>
        <v>3814968.9</v>
      </c>
      <c r="AG88" s="11">
        <f>3814968.9</f>
        <v>3814968.9</v>
      </c>
      <c r="AH88" s="11">
        <f>3354+450000+199568+207078+692057.4+200000+133102+204980+437720+100000+373359.5+350000+40000+200000+13600+100000+203400</f>
        <v>3908218.9</v>
      </c>
      <c r="AI88" s="11"/>
      <c r="AJ88" s="11"/>
      <c r="AK88" s="11"/>
      <c r="AL88" s="11">
        <f>3908218.9</f>
        <v>3908218.9</v>
      </c>
      <c r="AM88" s="17">
        <v>3.4000000000000002E-2</v>
      </c>
      <c r="AN88" s="17">
        <f>AB88*AM88</f>
        <v>133960</v>
      </c>
      <c r="AO88" s="11">
        <f>29240+43860+43860+6800+6800+3400</f>
        <v>133960</v>
      </c>
      <c r="AP88" s="11">
        <f>133960</f>
        <v>133960</v>
      </c>
      <c r="AQ88" s="11">
        <v>0</v>
      </c>
      <c r="AR88" s="11"/>
      <c r="AS88" s="11">
        <v>65</v>
      </c>
      <c r="AT88" s="11" t="s">
        <v>870</v>
      </c>
    </row>
    <row r="89" spans="1:46" x14ac:dyDescent="0.15">
      <c r="A89" s="54">
        <v>40491</v>
      </c>
      <c r="B89" s="11" t="s">
        <v>871</v>
      </c>
      <c r="C89" s="11" t="s">
        <v>872</v>
      </c>
      <c r="D89" s="11" t="s">
        <v>873</v>
      </c>
      <c r="E89" s="11" t="s">
        <v>857</v>
      </c>
      <c r="F89" s="11" t="s">
        <v>874</v>
      </c>
      <c r="G89" s="11" t="s">
        <v>859</v>
      </c>
      <c r="H89" s="11" t="s">
        <v>875</v>
      </c>
      <c r="I89" s="11" t="s">
        <v>876</v>
      </c>
      <c r="J89" s="11" t="s">
        <v>877</v>
      </c>
      <c r="K89" s="11" t="s">
        <v>862</v>
      </c>
      <c r="L89" s="11"/>
      <c r="M89" s="11">
        <v>842038</v>
      </c>
      <c r="N89" s="11"/>
      <c r="O89" s="11"/>
      <c r="P89" s="11"/>
      <c r="Q89" s="15"/>
      <c r="R89" s="16"/>
      <c r="S89" s="11">
        <v>253</v>
      </c>
      <c r="T89" s="11"/>
      <c r="U89" s="11" t="s">
        <v>863</v>
      </c>
      <c r="V89" s="17">
        <v>3.5999999999999997E-2</v>
      </c>
      <c r="W89" s="11">
        <f>M89*V89</f>
        <v>30313.367999999999</v>
      </c>
      <c r="X89" s="11">
        <v>30313</v>
      </c>
      <c r="Y89" s="11">
        <v>30313</v>
      </c>
      <c r="Z89" s="11">
        <v>0</v>
      </c>
      <c r="AA89" s="11">
        <f>500000+200000</f>
        <v>700000</v>
      </c>
      <c r="AB89" s="11">
        <f>700000</f>
        <v>700000</v>
      </c>
      <c r="AC89" s="11">
        <v>700000</v>
      </c>
      <c r="AD89" s="11">
        <v>700000</v>
      </c>
      <c r="AE89" s="18">
        <f>AC89/(M89+N89)</f>
        <v>0.83131640139756158</v>
      </c>
      <c r="AF89" s="11">
        <f>67000+400000+33000+193200</f>
        <v>693200</v>
      </c>
      <c r="AG89" s="11">
        <f>693200</f>
        <v>693200</v>
      </c>
      <c r="AH89" s="11">
        <f>67000+400000+33000+193200</f>
        <v>693200</v>
      </c>
      <c r="AI89" s="11"/>
      <c r="AJ89" s="11"/>
      <c r="AK89" s="11"/>
      <c r="AL89" s="11">
        <f>693200</f>
        <v>693200</v>
      </c>
      <c r="AM89" s="17">
        <v>3.4000000000000002E-2</v>
      </c>
      <c r="AN89" s="17">
        <f>AM89*AB89</f>
        <v>23800</v>
      </c>
      <c r="AO89" s="11">
        <f>17000</f>
        <v>17000</v>
      </c>
      <c r="AP89" s="11">
        <f>17000</f>
        <v>17000</v>
      </c>
      <c r="AQ89" s="11">
        <f>AN89-AP89</f>
        <v>6800</v>
      </c>
      <c r="AR89" s="11"/>
      <c r="AS89" s="11"/>
      <c r="AT89" s="11"/>
    </row>
    <row r="90" spans="1:46" s="24" customFormat="1" x14ac:dyDescent="0.15">
      <c r="A90" s="56">
        <v>40467</v>
      </c>
      <c r="B90" s="11" t="s">
        <v>878</v>
      </c>
      <c r="C90" s="19" t="s">
        <v>53</v>
      </c>
      <c r="D90" s="19" t="s">
        <v>879</v>
      </c>
      <c r="E90" s="19" t="s">
        <v>857</v>
      </c>
      <c r="F90" s="19" t="s">
        <v>880</v>
      </c>
      <c r="G90" s="19" t="s">
        <v>859</v>
      </c>
      <c r="H90" s="19" t="s">
        <v>881</v>
      </c>
      <c r="I90" s="19" t="s">
        <v>882</v>
      </c>
      <c r="J90" s="19" t="s">
        <v>883</v>
      </c>
      <c r="K90" s="19" t="s">
        <v>862</v>
      </c>
      <c r="L90" s="19"/>
      <c r="M90" s="19">
        <v>1787170</v>
      </c>
      <c r="N90" s="19">
        <f>847000+21000</f>
        <v>868000</v>
      </c>
      <c r="O90" s="19"/>
      <c r="P90" s="19">
        <f>2589000+21000</f>
        <v>2610000</v>
      </c>
      <c r="Q90" s="20"/>
      <c r="R90" s="21"/>
      <c r="S90" s="19"/>
      <c r="T90" s="19"/>
      <c r="U90" s="19" t="s">
        <v>863</v>
      </c>
      <c r="V90" s="22">
        <v>3.5999999999999997E-2</v>
      </c>
      <c r="W90" s="19">
        <f>P90*V90</f>
        <v>93960</v>
      </c>
      <c r="X90" s="19">
        <f>64338+30492</f>
        <v>94830</v>
      </c>
      <c r="Y90" s="19">
        <f>94830</f>
        <v>94830</v>
      </c>
      <c r="Z90" s="19">
        <v>0</v>
      </c>
      <c r="AA90" s="19">
        <f>150000+500000+210000+500000+200000+200000+350000+200000+100000+200000</f>
        <v>2610000</v>
      </c>
      <c r="AB90" s="19">
        <f>2610000</f>
        <v>2610000</v>
      </c>
      <c r="AC90" s="11">
        <v>2410000</v>
      </c>
      <c r="AD90" s="11">
        <v>2410000</v>
      </c>
      <c r="AE90" s="23">
        <f>AC90/P90</f>
        <v>0.92337164750957856</v>
      </c>
      <c r="AF90" s="19">
        <f>150000+367100+100000+7140+102000+50000+200000+148800+100000+50000+50000+6800+150000+40000+6800+150000+397877+180000+100000</f>
        <v>2356517</v>
      </c>
      <c r="AG90" s="19">
        <f>2356517</f>
        <v>2356517</v>
      </c>
      <c r="AH90" s="19">
        <f>150000+367100+100000+7140+102000+50000+200000+148800+100000+50000+50000+6800+150000+40000+6800+150000+11900+397877+20000+186800+1810.08+3400+100000+6800</f>
        <v>2407227.08</v>
      </c>
      <c r="AI90" s="19"/>
      <c r="AJ90" s="19"/>
      <c r="AK90" s="19"/>
      <c r="AL90" s="19">
        <f>2407227.08</f>
        <v>2407227.08</v>
      </c>
      <c r="AM90" s="22">
        <v>3.4000000000000002E-2</v>
      </c>
      <c r="AN90" s="22">
        <f>AM90*AB90</f>
        <v>88740</v>
      </c>
      <c r="AO90" s="19">
        <f>20000+2100+7140+17000+6800+6800+11900+6800+3400+6800</f>
        <v>88740</v>
      </c>
      <c r="AP90" s="19">
        <f>88740</f>
        <v>88740</v>
      </c>
      <c r="AQ90" s="19">
        <v>0</v>
      </c>
      <c r="AR90" s="19"/>
      <c r="AS90" s="19"/>
      <c r="AT90" s="19"/>
    </row>
    <row r="91" spans="1:46" s="24" customFormat="1" x14ac:dyDescent="0.15">
      <c r="A91" s="56">
        <v>40683</v>
      </c>
      <c r="B91" s="11" t="s">
        <v>884</v>
      </c>
      <c r="C91" s="19" t="s">
        <v>885</v>
      </c>
      <c r="D91" s="19" t="s">
        <v>886</v>
      </c>
      <c r="E91" s="11" t="s">
        <v>857</v>
      </c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0"/>
      <c r="R91" s="21"/>
      <c r="S91" s="19"/>
      <c r="T91" s="19"/>
      <c r="U91" s="19"/>
      <c r="V91" s="22"/>
      <c r="W91" s="19"/>
      <c r="X91" s="19"/>
      <c r="Y91" s="19"/>
      <c r="Z91" s="19"/>
      <c r="AA91" s="19"/>
      <c r="AB91" s="19"/>
      <c r="AC91" s="11">
        <v>0</v>
      </c>
      <c r="AD91" s="11">
        <v>0</v>
      </c>
      <c r="AE91" s="23"/>
      <c r="AF91" s="19"/>
      <c r="AG91" s="19"/>
      <c r="AH91" s="19"/>
      <c r="AI91" s="19"/>
      <c r="AJ91" s="19"/>
      <c r="AK91" s="19"/>
      <c r="AL91" s="19"/>
      <c r="AM91" s="22"/>
      <c r="AN91" s="22"/>
      <c r="AO91" s="19"/>
      <c r="AP91" s="19"/>
      <c r="AQ91" s="19"/>
      <c r="AR91" s="19"/>
      <c r="AS91" s="19"/>
      <c r="AT91" s="19"/>
    </row>
    <row r="92" spans="1:46" x14ac:dyDescent="0.15">
      <c r="A92" s="54">
        <v>40828</v>
      </c>
      <c r="B92" s="11" t="s">
        <v>887</v>
      </c>
      <c r="C92" s="11" t="s">
        <v>888</v>
      </c>
      <c r="D92" s="11" t="s">
        <v>889</v>
      </c>
      <c r="E92" s="11" t="s">
        <v>857</v>
      </c>
      <c r="F92" s="11" t="s">
        <v>890</v>
      </c>
      <c r="G92" s="11" t="s">
        <v>859</v>
      </c>
      <c r="H92" s="11" t="s">
        <v>891</v>
      </c>
      <c r="I92" s="25" t="s">
        <v>892</v>
      </c>
      <c r="J92" s="25" t="s">
        <v>893</v>
      </c>
      <c r="K92" s="11" t="s">
        <v>894</v>
      </c>
      <c r="L92" s="11"/>
      <c r="M92" s="11">
        <v>21611588</v>
      </c>
      <c r="N92" s="11">
        <f>109800+675943.83+2016587</f>
        <v>2802330.83</v>
      </c>
      <c r="O92" s="11"/>
      <c r="P92" s="11"/>
      <c r="Q92" s="15" t="s">
        <v>895</v>
      </c>
      <c r="R92" s="16">
        <v>40833</v>
      </c>
      <c r="S92" s="11">
        <v>6484</v>
      </c>
      <c r="T92" s="11"/>
      <c r="U92" s="11" t="s">
        <v>863</v>
      </c>
      <c r="V92" s="17">
        <v>0.03</v>
      </c>
      <c r="W92" s="11">
        <f>(M92+N92)*V92</f>
        <v>732417.56489999988</v>
      </c>
      <c r="X92" s="11">
        <f>450000+198348+3294+3294+16984</f>
        <v>671920</v>
      </c>
      <c r="Y92" s="11">
        <f>671920</f>
        <v>671920</v>
      </c>
      <c r="Z92" s="11">
        <f>W92-X92</f>
        <v>60497.564899999881</v>
      </c>
      <c r="AA92" s="11">
        <f>4265197.5+4242950.9+3025859.91+4034479.9+1567850.44+97508+270377+1714098.95+3539736.87</f>
        <v>22758059.470000003</v>
      </c>
      <c r="AB92" s="11">
        <f>22758059.47</f>
        <v>22758059.469999999</v>
      </c>
      <c r="AC92" s="11">
        <v>22758059.470000003</v>
      </c>
      <c r="AD92" s="11">
        <v>22758059.469999999</v>
      </c>
      <c r="AE92" s="18">
        <f t="shared" ref="AE92:AE101" si="26">AC92/(M92+N92)</f>
        <v>0.93217560148658873</v>
      </c>
      <c r="AF92" s="11">
        <f>1051455.75+1003000+218186+419369.93+78570.4+75000+150000+2156.25+1302898+19800+819594.71+492264.01+330000+879849.72+198912+744286.71+400000+514413.06+401257.7+420947.77+335610+1127625.6+485700+432992.8+510819.86+157004.28+3975+426384.54+832820+3975+108900+214068+759.5+607120+200000+704605.2+26899.6+13021.16+90000+100000+179500+1687.68+400000+425030+100000+203000+49750+200000+19600+196560+104902+12330+1461571.42+1099999.97</f>
        <v>20358173.619999997</v>
      </c>
      <c r="AG92" s="11">
        <f>19258173.65+1099999.97</f>
        <v>20358173.619999997</v>
      </c>
      <c r="AH92" s="11">
        <f>1646472.75+553000+18186+380000+419369.93+22422.65+394707.68+75000+294260+500504.25+1104550+19800+888743.06+489080.43+350795.94+879849.72+198912+102879+744286.71+400000+347844.4+367030.42+420947.77+137172+335610+1127625.6+485700+432992.8+510819.86+157004.28+11750+3975+426384.54+832820+3975+108900+214068+50000+759.5+53307+607120+200000+704605.2+26899.6+13021.16+102508+100000+179550+2049.1-50000+58279+1687.68+400000+425030+100000+203000+49750+50000+200000+19600+196560+104902-50000+33543+12330-1560+4300+1581922.42+1099999.97</f>
        <v>21886603.420000002</v>
      </c>
      <c r="AI92" s="11"/>
      <c r="AJ92" s="11"/>
      <c r="AK92" s="11"/>
      <c r="AL92" s="11">
        <f>20786603.45+1099999.97</f>
        <v>21886603.419999998</v>
      </c>
      <c r="AM92" s="17">
        <v>3.4000000000000002E-2</v>
      </c>
      <c r="AN92" s="17">
        <f t="shared" ref="AN92:AN155" si="27">AM92*AB92</f>
        <v>773774.02197999996</v>
      </c>
      <c r="AO92" s="11">
        <f>145017+144260+102879+137172+53307+3315+9193+58279+120351</f>
        <v>773773</v>
      </c>
      <c r="AP92" s="11">
        <f>773773</f>
        <v>773773</v>
      </c>
      <c r="AQ92" s="11">
        <v>0</v>
      </c>
      <c r="AR92" s="11"/>
      <c r="AS92" s="11">
        <v>140</v>
      </c>
      <c r="AT92" s="11" t="s">
        <v>896</v>
      </c>
    </row>
    <row r="93" spans="1:46" x14ac:dyDescent="0.15">
      <c r="A93" s="54">
        <v>40909</v>
      </c>
      <c r="B93" s="11" t="s">
        <v>897</v>
      </c>
      <c r="C93" s="11" t="s">
        <v>898</v>
      </c>
      <c r="D93" s="11" t="s">
        <v>899</v>
      </c>
      <c r="E93" s="11" t="s">
        <v>900</v>
      </c>
      <c r="F93" s="11" t="s">
        <v>901</v>
      </c>
      <c r="G93" s="11" t="s">
        <v>859</v>
      </c>
      <c r="H93" s="11" t="s">
        <v>902</v>
      </c>
      <c r="I93" s="11" t="s">
        <v>903</v>
      </c>
      <c r="J93" s="11" t="s">
        <v>904</v>
      </c>
      <c r="K93" s="11" t="s">
        <v>862</v>
      </c>
      <c r="L93" s="11"/>
      <c r="M93" s="11">
        <v>1950000</v>
      </c>
      <c r="N93" s="11">
        <f>2700000+3000000+581535</f>
        <v>6281535</v>
      </c>
      <c r="O93" s="11"/>
      <c r="P93" s="11"/>
      <c r="Q93" s="15" t="s">
        <v>905</v>
      </c>
      <c r="R93" s="16">
        <v>41045</v>
      </c>
      <c r="S93" s="11">
        <v>585</v>
      </c>
      <c r="T93" s="11"/>
      <c r="U93" s="11" t="s">
        <v>906</v>
      </c>
      <c r="V93" s="17">
        <v>0.03</v>
      </c>
      <c r="W93" s="11">
        <f>(M93+N93)*V93</f>
        <v>246946.05</v>
      </c>
      <c r="X93" s="11">
        <f>70200+97200+62100</f>
        <v>229500</v>
      </c>
      <c r="Y93" s="11">
        <f>229500</f>
        <v>229500</v>
      </c>
      <c r="Z93" s="11">
        <f>W93-X93</f>
        <v>17446.049999999988</v>
      </c>
      <c r="AA93" s="11">
        <f>1600000+1000000+1300000+1470000+100000+1100000+1661535</f>
        <v>8231535</v>
      </c>
      <c r="AB93" s="11">
        <f>8231535</f>
        <v>8231535</v>
      </c>
      <c r="AC93" s="11">
        <v>8231535</v>
      </c>
      <c r="AD93" s="11">
        <v>8231535</v>
      </c>
      <c r="AE93" s="18">
        <f t="shared" si="26"/>
        <v>1</v>
      </c>
      <c r="AF93" s="11">
        <f>1000000+370200+100000+749600+40000+150000+643400+200000+700000+300000+120000+30000+80000+990000+1300000+100000+100000+170000</f>
        <v>7143200</v>
      </c>
      <c r="AG93" s="11">
        <f>7143200</f>
        <v>7143200</v>
      </c>
      <c r="AH93" s="11">
        <f>1054400+370200+100000+34000+949600+40000+44200+450000+643400+200000+1053380+300000+120000+30000+80000+1027400+56492+1300000+100000+100000+170000</f>
        <v>8223072</v>
      </c>
      <c r="AI93" s="11"/>
      <c r="AJ93" s="11"/>
      <c r="AK93" s="11"/>
      <c r="AL93" s="11">
        <f>8223072</f>
        <v>8223072</v>
      </c>
      <c r="AM93" s="17">
        <v>3.4000000000000002E-2</v>
      </c>
      <c r="AN93" s="17">
        <f t="shared" si="27"/>
        <v>279872.19</v>
      </c>
      <c r="AO93" s="11">
        <f>54400+34000+44200+49980+3400+37400+56492</f>
        <v>279872</v>
      </c>
      <c r="AP93" s="11">
        <f>279872</f>
        <v>279872</v>
      </c>
      <c r="AQ93" s="11">
        <v>0</v>
      </c>
      <c r="AR93" s="11"/>
      <c r="AS93" s="11">
        <v>5</v>
      </c>
      <c r="AT93" s="11" t="s">
        <v>907</v>
      </c>
    </row>
    <row r="94" spans="1:46" x14ac:dyDescent="0.15">
      <c r="A94" s="54">
        <v>40909</v>
      </c>
      <c r="B94" s="11" t="s">
        <v>908</v>
      </c>
      <c r="C94" s="11" t="s">
        <v>70</v>
      </c>
      <c r="D94" s="11" t="s">
        <v>909</v>
      </c>
      <c r="E94" s="11" t="s">
        <v>857</v>
      </c>
      <c r="F94" s="11" t="s">
        <v>910</v>
      </c>
      <c r="G94" s="11" t="s">
        <v>859</v>
      </c>
      <c r="H94" s="11" t="s">
        <v>911</v>
      </c>
      <c r="I94" s="11" t="s">
        <v>912</v>
      </c>
      <c r="J94" s="11" t="s">
        <v>911</v>
      </c>
      <c r="K94" s="11" t="s">
        <v>894</v>
      </c>
      <c r="L94" s="11"/>
      <c r="M94" s="11">
        <v>3098310</v>
      </c>
      <c r="N94" s="11"/>
      <c r="O94" s="11"/>
      <c r="P94" s="11"/>
      <c r="Q94" s="15" t="s">
        <v>913</v>
      </c>
      <c r="R94" s="16">
        <v>40957</v>
      </c>
      <c r="S94" s="11">
        <v>930</v>
      </c>
      <c r="T94" s="11"/>
      <c r="U94" s="11" t="s">
        <v>863</v>
      </c>
      <c r="V94" s="17">
        <v>3.5999999999999997E-2</v>
      </c>
      <c r="W94" s="11">
        <f t="shared" ref="W94:W96" si="28">(M94+N94)*V94</f>
        <v>111539.15999999999</v>
      </c>
      <c r="X94" s="11">
        <f>111539</f>
        <v>111539</v>
      </c>
      <c r="Y94" s="11">
        <f>111539</f>
        <v>111539</v>
      </c>
      <c r="Z94" s="11">
        <v>0</v>
      </c>
      <c r="AA94" s="11">
        <f>991274+167881+1014408+290000</f>
        <v>2463563</v>
      </c>
      <c r="AB94" s="11">
        <f>2463563</f>
        <v>2463563</v>
      </c>
      <c r="AC94" s="11">
        <v>2463563</v>
      </c>
      <c r="AD94" s="11">
        <v>2463563</v>
      </c>
      <c r="AE94" s="18">
        <f t="shared" si="26"/>
        <v>0.79513121669555342</v>
      </c>
      <c r="AF94" s="11">
        <f>3717.98+370000+200000+50000+100000+125000+145000+200000+600000+50000+99994+32000+250000</f>
        <v>2225711.98</v>
      </c>
      <c r="AG94" s="11">
        <f>2225711.98</f>
        <v>2225711.98</v>
      </c>
      <c r="AH94" s="11">
        <f>3717.98+353703+200000+150000+150000+125000+5708+145000+15000+234490+600000+50000+99994+32000+9860+250000</f>
        <v>2424472.98</v>
      </c>
      <c r="AI94" s="11"/>
      <c r="AJ94" s="11"/>
      <c r="AK94" s="11"/>
      <c r="AL94" s="11">
        <f>2424472.98</f>
        <v>2424472.98</v>
      </c>
      <c r="AM94" s="17">
        <v>3.4000000000000002E-2</v>
      </c>
      <c r="AN94" s="17">
        <f t="shared" si="27"/>
        <v>83761.142000000007</v>
      </c>
      <c r="AO94" s="11">
        <f>33703+5708+34490+9860</f>
        <v>83761</v>
      </c>
      <c r="AP94" s="11">
        <f>83761</f>
        <v>83761</v>
      </c>
      <c r="AQ94" s="11">
        <v>0</v>
      </c>
      <c r="AR94" s="11"/>
      <c r="AS94" s="11"/>
      <c r="AT94" s="11"/>
    </row>
    <row r="95" spans="1:46" x14ac:dyDescent="0.15">
      <c r="A95" s="54">
        <v>40907</v>
      </c>
      <c r="B95" s="11" t="s">
        <v>914</v>
      </c>
      <c r="C95" s="11" t="s">
        <v>67</v>
      </c>
      <c r="D95" s="11" t="s">
        <v>915</v>
      </c>
      <c r="E95" s="11" t="s">
        <v>857</v>
      </c>
      <c r="F95" s="11" t="s">
        <v>916</v>
      </c>
      <c r="G95" s="11" t="s">
        <v>859</v>
      </c>
      <c r="H95" s="11" t="s">
        <v>917</v>
      </c>
      <c r="I95" s="11" t="s">
        <v>918</v>
      </c>
      <c r="J95" s="11" t="s">
        <v>919</v>
      </c>
      <c r="K95" s="11" t="s">
        <v>894</v>
      </c>
      <c r="L95" s="11"/>
      <c r="M95" s="11">
        <f>3405024</f>
        <v>3405024</v>
      </c>
      <c r="N95" s="11"/>
      <c r="O95" s="11"/>
      <c r="P95" s="11"/>
      <c r="Q95" s="15" t="s">
        <v>920</v>
      </c>
      <c r="R95" s="16">
        <v>40974</v>
      </c>
      <c r="S95" s="11">
        <v>1175</v>
      </c>
      <c r="T95" s="11"/>
      <c r="U95" s="11" t="s">
        <v>863</v>
      </c>
      <c r="V95" s="17">
        <v>3.5999999999999997E-2</v>
      </c>
      <c r="W95" s="11">
        <f t="shared" si="28"/>
        <v>122580.86399999999</v>
      </c>
      <c r="X95" s="11">
        <f>122581</f>
        <v>122581</v>
      </c>
      <c r="Y95" s="11">
        <f>122581</f>
        <v>122581</v>
      </c>
      <c r="Z95" s="11">
        <v>0</v>
      </c>
      <c r="AA95" s="11">
        <f>1000000+500000+800000+611296+200000</f>
        <v>3111296</v>
      </c>
      <c r="AB95" s="11">
        <f>3111296</f>
        <v>3111296</v>
      </c>
      <c r="AC95" s="11">
        <v>3111296</v>
      </c>
      <c r="AD95" s="11">
        <v>3111296</v>
      </c>
      <c r="AE95" s="18">
        <f t="shared" si="26"/>
        <v>0.91373687821289951</v>
      </c>
      <c r="AF95" s="11">
        <f>600000+4698.93+419958+80000+471644.68+50000+117500+35544.86+50000+276000+244492.3+146249</f>
        <v>2496087.77</v>
      </c>
      <c r="AG95" s="11">
        <f>2496087.77</f>
        <v>2496087.77</v>
      </c>
      <c r="AH95" s="11">
        <f>34000+450000+450000+17000+4698.93+419958+80000+27200+471644.68+50000+117500+35544.86+50000+20784+376000+244492.3+6800+194238-0.45</f>
        <v>3049860.32</v>
      </c>
      <c r="AI95" s="11"/>
      <c r="AJ95" s="11"/>
      <c r="AK95" s="11"/>
      <c r="AL95" s="11">
        <f>3049860.32</f>
        <v>3049860.32</v>
      </c>
      <c r="AM95" s="17">
        <v>3.4000000000000002E-2</v>
      </c>
      <c r="AN95" s="17">
        <f t="shared" si="27"/>
        <v>105784.06400000001</v>
      </c>
      <c r="AO95" s="11">
        <f>34000+17000+27200+20784+6800</f>
        <v>105784</v>
      </c>
      <c r="AP95" s="11">
        <f>105784</f>
        <v>105784</v>
      </c>
      <c r="AQ95" s="11">
        <v>0</v>
      </c>
      <c r="AR95" s="11"/>
      <c r="AS95" s="11">
        <v>36</v>
      </c>
      <c r="AT95" s="11" t="s">
        <v>921</v>
      </c>
    </row>
    <row r="96" spans="1:46" x14ac:dyDescent="0.15">
      <c r="A96" s="54">
        <v>40909</v>
      </c>
      <c r="B96" s="11" t="s">
        <v>922</v>
      </c>
      <c r="C96" s="11" t="s">
        <v>74</v>
      </c>
      <c r="D96" s="11" t="s">
        <v>923</v>
      </c>
      <c r="E96" s="11" t="s">
        <v>857</v>
      </c>
      <c r="F96" s="11" t="s">
        <v>924</v>
      </c>
      <c r="G96" s="11" t="s">
        <v>859</v>
      </c>
      <c r="H96" s="11" t="s">
        <v>925</v>
      </c>
      <c r="I96" s="25" t="s">
        <v>926</v>
      </c>
      <c r="J96" s="25" t="s">
        <v>927</v>
      </c>
      <c r="K96" s="25" t="s">
        <v>894</v>
      </c>
      <c r="L96" s="11"/>
      <c r="M96" s="11">
        <v>9708632.2599999998</v>
      </c>
      <c r="N96" s="11">
        <f>1657597.98+1188742.02</f>
        <v>2846340</v>
      </c>
      <c r="O96" s="11"/>
      <c r="P96" s="11"/>
      <c r="Q96" s="15" t="s">
        <v>928</v>
      </c>
      <c r="R96" s="16">
        <v>40975</v>
      </c>
      <c r="S96" s="11">
        <v>2913</v>
      </c>
      <c r="T96" s="11"/>
      <c r="U96" s="11" t="s">
        <v>863</v>
      </c>
      <c r="V96" s="17">
        <v>0.03</v>
      </c>
      <c r="W96" s="11">
        <f t="shared" si="28"/>
        <v>376649.1678</v>
      </c>
      <c r="X96" s="11">
        <f>190000+101259+49728+21793</f>
        <v>362780</v>
      </c>
      <c r="Y96" s="11">
        <f>362780</f>
        <v>362780</v>
      </c>
      <c r="Z96" s="11">
        <f t="shared" ref="Z96" si="29">W96-X96</f>
        <v>13869.167799999996</v>
      </c>
      <c r="AA96" s="11">
        <f>2424158.07+1200000+1227158.07+1941726.45+970863.22+414399.5+828798.99+1385557+1700000+3000+459310.96</f>
        <v>12554972.26</v>
      </c>
      <c r="AB96" s="11">
        <f>12554972.26</f>
        <v>12554972.26</v>
      </c>
      <c r="AC96" s="11">
        <v>11825835.490000002</v>
      </c>
      <c r="AD96" s="11">
        <v>11825835.49</v>
      </c>
      <c r="AE96" s="18">
        <f t="shared" si="26"/>
        <v>0.9419244618864655</v>
      </c>
      <c r="AF96" s="11">
        <f>299700+567859+200000+79800+30164+10748+50000+100000+41018+136049+586651.1+60000+251229.63+100000+418465.01+91354.89+251460.92+465568.9+1263196.8+100000+8820+250000+200000+80000+129506+199900+148703.7+198000+199900+200000+91574.7+462659+245224.84+216101.48+11775+300000+735165.2+1517.11+227818+536978+300000+297330+6330+199800+299994</f>
        <v>10650362.279999999</v>
      </c>
      <c r="AG96" s="11">
        <f>10650362.28</f>
        <v>10650362.279999999</v>
      </c>
      <c r="AH96" s="11">
        <f>82421+299700+11650.36+567859+200000+79800+130164+10748+50000+100000+41018+240800+136049+628374.1+60000+317248.63+100000+418465.01+91354.89+251460.92+465568.9+1263196.8+100000+8820+250000+200000+80000+162515+14090+199900+148703.7+198000+199900+28179+200000+91574.7+462659+245224.84+216101.48+47109+357800+735165.2+1517.11+227818+102+536978+300000+297330+199800+15617+299994</f>
        <v>11370776.639999999</v>
      </c>
      <c r="AI96" s="11"/>
      <c r="AJ96" s="11">
        <f>11500+6330</f>
        <v>17830</v>
      </c>
      <c r="AK96" s="11">
        <f>275</f>
        <v>275</v>
      </c>
      <c r="AL96" s="11">
        <f>11370776.64+17830+275</f>
        <v>11388881.640000001</v>
      </c>
      <c r="AM96" s="17">
        <v>3.4000000000000002E-2</v>
      </c>
      <c r="AN96" s="17">
        <f t="shared" si="27"/>
        <v>426869.05684000003</v>
      </c>
      <c r="AO96" s="11">
        <f>82421+40800+41723+66019+33009+14090+28179+47109+57800+102+15617</f>
        <v>426869</v>
      </c>
      <c r="AP96" s="11">
        <f>426869</f>
        <v>426869</v>
      </c>
      <c r="AQ96" s="11">
        <v>0</v>
      </c>
      <c r="AR96" s="11"/>
      <c r="AS96" s="11">
        <v>80</v>
      </c>
      <c r="AT96" s="11" t="s">
        <v>929</v>
      </c>
    </row>
    <row r="97" spans="1:46" x14ac:dyDescent="0.15">
      <c r="A97" s="54">
        <v>40940</v>
      </c>
      <c r="B97" s="11" t="s">
        <v>930</v>
      </c>
      <c r="C97" s="11" t="s">
        <v>931</v>
      </c>
      <c r="D97" s="11" t="s">
        <v>932</v>
      </c>
      <c r="E97" s="11" t="s">
        <v>857</v>
      </c>
      <c r="F97" s="11" t="s">
        <v>933</v>
      </c>
      <c r="G97" s="11" t="s">
        <v>859</v>
      </c>
      <c r="H97" s="11" t="s">
        <v>934</v>
      </c>
      <c r="I97" s="11" t="s">
        <v>935</v>
      </c>
      <c r="J97" s="11" t="s">
        <v>936</v>
      </c>
      <c r="K97" s="11" t="s">
        <v>862</v>
      </c>
      <c r="L97" s="11"/>
      <c r="M97" s="11">
        <v>14568703.880000001</v>
      </c>
      <c r="N97" s="11">
        <f>311411+339858</f>
        <v>651269</v>
      </c>
      <c r="O97" s="11"/>
      <c r="P97" s="11"/>
      <c r="Q97" s="15" t="s">
        <v>937</v>
      </c>
      <c r="R97" s="16">
        <v>41061</v>
      </c>
      <c r="S97" s="11">
        <v>4371</v>
      </c>
      <c r="T97" s="11"/>
      <c r="U97" s="11" t="s">
        <v>938</v>
      </c>
      <c r="V97" s="17">
        <v>0.03</v>
      </c>
      <c r="W97" s="11">
        <f>(M97+N97)*V97</f>
        <v>456599.18640000001</v>
      </c>
      <c r="X97" s="11">
        <f>437061</f>
        <v>437061</v>
      </c>
      <c r="Y97" s="11">
        <f>437061</f>
        <v>437061</v>
      </c>
      <c r="Z97" s="11">
        <f>W97-X97</f>
        <v>19538.186400000006</v>
      </c>
      <c r="AA97" s="11">
        <f>450000+200000+600000+4000000+650000+800000+350000+100000+250000+1000000+300000+300000+500000+500000+1775108+200000</f>
        <v>11975108</v>
      </c>
      <c r="AB97" s="11">
        <f>11975108</f>
        <v>11975108</v>
      </c>
      <c r="AC97" s="11">
        <v>11054072</v>
      </c>
      <c r="AD97" s="11">
        <v>11054072</v>
      </c>
      <c r="AE97" s="18">
        <f t="shared" si="26"/>
        <v>0.72628723369972259</v>
      </c>
      <c r="AF97" s="11">
        <f>400000+120000+200000+136000+3000000+500000+300000+100000+630000+750000+35000+350000+300000+1000000+100000+145000+35415.75+60000+400000+90000+413200+79200+904010</f>
        <v>10047825.75</v>
      </c>
      <c r="AG97" s="11">
        <f>9143815.75+904010</f>
        <v>10047825.75</v>
      </c>
      <c r="AH97" s="11">
        <f>15300+400000+6800+120000+20400+540000+136000+3000000+500000+300000+100000+22100+630000+27200+750000+46900+350000+3400+8500+300000+34000+1000000+110200+145000+35415.75+60000+10200+300000+17000+400000+107000+413200+79200+967154</f>
        <v>10954969.75</v>
      </c>
      <c r="AI97" s="11"/>
      <c r="AJ97" s="11">
        <v>4010</v>
      </c>
      <c r="AK97" s="11"/>
      <c r="AL97" s="11">
        <f>9987815.75+971164</f>
        <v>10958979.75</v>
      </c>
      <c r="AM97" s="17">
        <v>3.4000000000000002E-2</v>
      </c>
      <c r="AN97" s="17">
        <f t="shared" si="27"/>
        <v>407153.67200000002</v>
      </c>
      <c r="AO97" s="11">
        <f>15300+6800+20400+136000+22100+27200+11900+3400+8500+34000+10200+10200+17000+17000+67154</f>
        <v>407154</v>
      </c>
      <c r="AP97" s="11">
        <f>340000+67154</f>
        <v>407154</v>
      </c>
      <c r="AQ97" s="11">
        <v>0</v>
      </c>
      <c r="AR97" s="11"/>
      <c r="AS97" s="11">
        <v>220</v>
      </c>
      <c r="AT97" s="11" t="s">
        <v>939</v>
      </c>
    </row>
    <row r="98" spans="1:46" x14ac:dyDescent="0.15">
      <c r="A98" s="54">
        <v>40940</v>
      </c>
      <c r="B98" s="11" t="s">
        <v>940</v>
      </c>
      <c r="C98" s="11" t="s">
        <v>85</v>
      </c>
      <c r="D98" s="11" t="s">
        <v>941</v>
      </c>
      <c r="E98" s="11" t="s">
        <v>900</v>
      </c>
      <c r="F98" s="11" t="s">
        <v>942</v>
      </c>
      <c r="G98" s="11" t="s">
        <v>943</v>
      </c>
      <c r="H98" s="11" t="s">
        <v>944</v>
      </c>
      <c r="I98" s="11" t="s">
        <v>945</v>
      </c>
      <c r="J98" s="11" t="s">
        <v>946</v>
      </c>
      <c r="K98" s="11" t="s">
        <v>894</v>
      </c>
      <c r="L98" s="11"/>
      <c r="M98" s="11">
        <v>20000000</v>
      </c>
      <c r="N98" s="11">
        <v>5102771</v>
      </c>
      <c r="O98" s="11"/>
      <c r="P98" s="11">
        <v>25102771</v>
      </c>
      <c r="Q98" s="15" t="s">
        <v>947</v>
      </c>
      <c r="R98" s="16">
        <v>40981</v>
      </c>
      <c r="S98" s="11">
        <v>6000</v>
      </c>
      <c r="T98" s="11"/>
      <c r="U98" s="11" t="s">
        <v>863</v>
      </c>
      <c r="V98" s="17">
        <v>0.03</v>
      </c>
      <c r="W98" s="11">
        <f>P98*V98</f>
        <v>753083.13</v>
      </c>
      <c r="X98" s="11">
        <f>300000+300000+153083</f>
        <v>753083</v>
      </c>
      <c r="Y98" s="11">
        <f>753083</f>
        <v>753083</v>
      </c>
      <c r="Z98" s="11">
        <v>0</v>
      </c>
      <c r="AA98" s="11">
        <f>3000000+4000000+5000000+2000000+9000000+847632.45</f>
        <v>23847632.449999999</v>
      </c>
      <c r="AB98" s="11">
        <f>23847632.45</f>
        <v>23847632.449999999</v>
      </c>
      <c r="AC98" s="11">
        <v>23847632.449999999</v>
      </c>
      <c r="AD98" s="11">
        <v>23847632.449999999</v>
      </c>
      <c r="AE98" s="18">
        <f t="shared" si="26"/>
        <v>0.95</v>
      </c>
      <c r="AF98" s="11">
        <f>998508.51+1340269.41+100000+1621348.82+2825848+372325.86+200000+1233950+200000+600000+400000+1091065+242634+102567.74+1530500+110000+553675+174796.83+5973955+1075908+95508+1499083+699782+54000</f>
        <v>23095725.170000002</v>
      </c>
      <c r="AG98" s="11">
        <f>23095725.17</f>
        <v>23095725.170000002</v>
      </c>
      <c r="AH98" s="11">
        <f>1200508.51+1340269.41+100000+136000+1971348.82-180000+2825848+372325.86+200000+1233950+200000+600000+146370+1091065+196264+102567.74+1598500+110000+553675+174796.83+6308775+1075908+95508+1499083+699782+141087+54000</f>
        <v>23847632.170000002</v>
      </c>
      <c r="AI98" s="11"/>
      <c r="AJ98" s="11"/>
      <c r="AK98" s="11"/>
      <c r="AL98" s="11">
        <f>23847632.17</f>
        <v>23847632.170000002</v>
      </c>
      <c r="AM98" s="17">
        <v>3.4000000000000002E-2</v>
      </c>
      <c r="AN98" s="17">
        <f t="shared" si="27"/>
        <v>810819.50329999998</v>
      </c>
      <c r="AO98" s="11">
        <f>102000+136000+170000+68000+306000+28820</f>
        <v>810820</v>
      </c>
      <c r="AP98" s="11">
        <f>810820</f>
        <v>810820</v>
      </c>
      <c r="AQ98" s="11">
        <v>0</v>
      </c>
      <c r="AR98" s="11"/>
      <c r="AS98" s="11">
        <v>50</v>
      </c>
      <c r="AT98" s="11" t="s">
        <v>948</v>
      </c>
    </row>
    <row r="99" spans="1:46" x14ac:dyDescent="0.15">
      <c r="A99" s="54">
        <v>40940</v>
      </c>
      <c r="B99" s="11" t="s">
        <v>949</v>
      </c>
      <c r="C99" s="11" t="s">
        <v>87</v>
      </c>
      <c r="D99" s="11" t="s">
        <v>950</v>
      </c>
      <c r="E99" s="11" t="s">
        <v>900</v>
      </c>
      <c r="F99" s="11" t="s">
        <v>951</v>
      </c>
      <c r="G99" s="11" t="s">
        <v>943</v>
      </c>
      <c r="H99" s="11" t="s">
        <v>952</v>
      </c>
      <c r="I99" s="11" t="s">
        <v>953</v>
      </c>
      <c r="J99" s="11" t="s">
        <v>954</v>
      </c>
      <c r="K99" s="11" t="s">
        <v>862</v>
      </c>
      <c r="L99" s="11"/>
      <c r="M99" s="11">
        <v>33000000</v>
      </c>
      <c r="N99" s="11"/>
      <c r="O99" s="11"/>
      <c r="P99" s="11"/>
      <c r="Q99" s="15" t="s">
        <v>955</v>
      </c>
      <c r="R99" s="16">
        <v>41095</v>
      </c>
      <c r="S99" s="11">
        <v>10752</v>
      </c>
      <c r="T99" s="11"/>
      <c r="U99" s="11" t="s">
        <v>906</v>
      </c>
      <c r="V99" s="17">
        <v>3.5000000000000003E-2</v>
      </c>
      <c r="W99" s="11">
        <f t="shared" ref="W99:W103" si="30">(M99+N99)*V99</f>
        <v>1155000</v>
      </c>
      <c r="X99" s="11">
        <f>400000+400000+355000</f>
        <v>1155000</v>
      </c>
      <c r="Y99" s="11">
        <f>1155000</f>
        <v>1155000</v>
      </c>
      <c r="Z99" s="11">
        <f t="shared" ref="Z99:Z102" si="31">W99-X99</f>
        <v>0</v>
      </c>
      <c r="AA99" s="11">
        <f>3000000+3000000+10000000+1520000+520000+680000+2000000+2000000</f>
        <v>22720000</v>
      </c>
      <c r="AB99" s="11">
        <f>22720000</f>
        <v>22720000</v>
      </c>
      <c r="AC99" s="11">
        <v>21720000</v>
      </c>
      <c r="AD99" s="11">
        <v>21720000</v>
      </c>
      <c r="AE99" s="18">
        <f t="shared" si="26"/>
        <v>0.6581818181818182</v>
      </c>
      <c r="AF99" s="11">
        <f>1679990+1001295.36+130000+978000+1540174.58+300000+1052873.64+2261880+500000+600000+250000+600000+2207400+900000+300000+250000+2199508+300000+1583785+999997.89</f>
        <v>19634904.469999999</v>
      </c>
      <c r="AG99" s="11">
        <f>19634904.47</f>
        <v>19634904.469999999</v>
      </c>
      <c r="AH99" s="11">
        <f>1781990+1001295.36+130000+1080000+1540174.58+300000+1552873.64+2601880+1000000+500000+600000+250000+100000+2207400+900000+300000+51680+267680+23120+2199508+300000+1947192+68000+999997.89</f>
        <v>21702791.469999999</v>
      </c>
      <c r="AI99" s="11"/>
      <c r="AJ99" s="11"/>
      <c r="AK99" s="11"/>
      <c r="AL99" s="11">
        <f>21702791.47</f>
        <v>21702791.469999999</v>
      </c>
      <c r="AM99" s="17">
        <v>3.4000000000000002E-2</v>
      </c>
      <c r="AN99" s="17">
        <f t="shared" si="27"/>
        <v>772480</v>
      </c>
      <c r="AO99" s="11">
        <f>102000+102000+340000+51680+17680+23120+68000+68000</f>
        <v>772480</v>
      </c>
      <c r="AP99" s="11">
        <f>772480</f>
        <v>772480</v>
      </c>
      <c r="AQ99" s="11">
        <f t="shared" ref="AQ99:AQ102" si="32">AN99-AP99</f>
        <v>0</v>
      </c>
      <c r="AR99" s="11"/>
      <c r="AS99" s="11"/>
      <c r="AT99" s="11"/>
    </row>
    <row r="100" spans="1:46" x14ac:dyDescent="0.15">
      <c r="A100" s="54">
        <v>40940</v>
      </c>
      <c r="B100" s="11" t="s">
        <v>956</v>
      </c>
      <c r="C100" s="11" t="s">
        <v>81</v>
      </c>
      <c r="D100" s="11" t="s">
        <v>957</v>
      </c>
      <c r="E100" s="11" t="s">
        <v>900</v>
      </c>
      <c r="F100" s="11" t="s">
        <v>958</v>
      </c>
      <c r="G100" s="11" t="s">
        <v>943</v>
      </c>
      <c r="H100" s="11" t="s">
        <v>952</v>
      </c>
      <c r="I100" s="11" t="s">
        <v>953</v>
      </c>
      <c r="J100" s="11" t="s">
        <v>952</v>
      </c>
      <c r="K100" s="11" t="s">
        <v>894</v>
      </c>
      <c r="L100" s="11"/>
      <c r="M100" s="11">
        <v>20000000</v>
      </c>
      <c r="N100" s="11"/>
      <c r="O100" s="11"/>
      <c r="P100" s="11"/>
      <c r="Q100" s="15" t="s">
        <v>959</v>
      </c>
      <c r="R100" s="16">
        <v>41081</v>
      </c>
      <c r="S100" s="11">
        <v>6465</v>
      </c>
      <c r="T100" s="11"/>
      <c r="U100" s="11" t="s">
        <v>906</v>
      </c>
      <c r="V100" s="17">
        <v>3.5000000000000003E-2</v>
      </c>
      <c r="W100" s="11">
        <f t="shared" si="30"/>
        <v>700000.00000000012</v>
      </c>
      <c r="X100" s="11">
        <f>110000+100000+200000+290000</f>
        <v>700000</v>
      </c>
      <c r="Y100" s="11">
        <f>700000</f>
        <v>700000</v>
      </c>
      <c r="Z100" s="11">
        <f t="shared" si="31"/>
        <v>0</v>
      </c>
      <c r="AA100" s="11">
        <f>2000000+2000000+6000000+4000000+2000000+1000000+500000+1000000</f>
        <v>18500000</v>
      </c>
      <c r="AB100" s="11">
        <f>18500000</f>
        <v>18500000</v>
      </c>
      <c r="AC100" s="11">
        <v>17500000</v>
      </c>
      <c r="AD100" s="11">
        <v>17500000</v>
      </c>
      <c r="AE100" s="18">
        <f t="shared" si="26"/>
        <v>0.875</v>
      </c>
      <c r="AF100" s="11">
        <f>1513509.72+300000+100000+1840000+5689588.88+500000+500000+1052873.64+1000000+616972.46+565225.4+500000+999620+400000+100000+100000+2200+203342.4+550000</f>
        <v>16533332.5</v>
      </c>
      <c r="AG100" s="11">
        <f>16533332.5</f>
        <v>16533332.5</v>
      </c>
      <c r="AH100" s="11">
        <f>1610203.63+300000+68000+100000+1840000+5893588.88+136000+1000000+1052873.64+1000000+616972.46+68000+681085.4+500000+999620+34000+17000+400000+100000+34000+50000+100000+203342.4-50000+550000</f>
        <v>17304686.41</v>
      </c>
      <c r="AI100" s="11"/>
      <c r="AJ100" s="11"/>
      <c r="AK100" s="11">
        <v>2200</v>
      </c>
      <c r="AL100" s="11">
        <f>17304686.41+2200</f>
        <v>17306886.41</v>
      </c>
      <c r="AM100" s="17">
        <v>3.4000000000000002E-2</v>
      </c>
      <c r="AN100" s="17">
        <f t="shared" si="27"/>
        <v>629000</v>
      </c>
      <c r="AO100" s="11">
        <f>68000+68000+204000+136000+68000+34000+17000+34000</f>
        <v>629000</v>
      </c>
      <c r="AP100" s="11">
        <f>629000</f>
        <v>629000</v>
      </c>
      <c r="AQ100" s="11">
        <f t="shared" si="32"/>
        <v>0</v>
      </c>
      <c r="AR100" s="11"/>
      <c r="AS100" s="11"/>
      <c r="AT100" s="11"/>
    </row>
    <row r="101" spans="1:46" x14ac:dyDescent="0.15">
      <c r="A101" s="54">
        <v>40969</v>
      </c>
      <c r="B101" s="11" t="s">
        <v>960</v>
      </c>
      <c r="C101" s="11" t="s">
        <v>89</v>
      </c>
      <c r="D101" s="11" t="s">
        <v>961</v>
      </c>
      <c r="E101" s="11" t="s">
        <v>900</v>
      </c>
      <c r="F101" s="11" t="s">
        <v>962</v>
      </c>
      <c r="G101" s="11" t="s">
        <v>943</v>
      </c>
      <c r="H101" s="11" t="s">
        <v>963</v>
      </c>
      <c r="I101" s="11" t="s">
        <v>964</v>
      </c>
      <c r="J101" s="11" t="s">
        <v>965</v>
      </c>
      <c r="K101" s="11" t="s">
        <v>894</v>
      </c>
      <c r="L101" s="11"/>
      <c r="M101" s="11">
        <v>15000000</v>
      </c>
      <c r="N101" s="11">
        <f>60000</f>
        <v>60000</v>
      </c>
      <c r="O101" s="11"/>
      <c r="P101" s="11"/>
      <c r="Q101" s="15" t="s">
        <v>966</v>
      </c>
      <c r="R101" s="16">
        <v>40989</v>
      </c>
      <c r="S101" s="11">
        <v>4500</v>
      </c>
      <c r="T101" s="11"/>
      <c r="U101" s="11" t="s">
        <v>938</v>
      </c>
      <c r="V101" s="17">
        <v>0.03</v>
      </c>
      <c r="W101" s="11">
        <f t="shared" si="30"/>
        <v>451800</v>
      </c>
      <c r="X101" s="11">
        <f>315000+135000</f>
        <v>450000</v>
      </c>
      <c r="Y101" s="11">
        <f>450000</f>
        <v>450000</v>
      </c>
      <c r="Z101" s="11">
        <f t="shared" si="31"/>
        <v>1800</v>
      </c>
      <c r="AA101" s="11">
        <f>3000000+3000000+4000000+500000+1400000+500000</f>
        <v>12400000</v>
      </c>
      <c r="AB101" s="11">
        <f>12400000</f>
        <v>12400000</v>
      </c>
      <c r="AC101" s="11">
        <v>12400000</v>
      </c>
      <c r="AD101" s="11">
        <v>12400000</v>
      </c>
      <c r="AE101" s="18">
        <f t="shared" si="26"/>
        <v>0.82337317397078358</v>
      </c>
      <c r="AF101" s="11">
        <f>1355000+452661.19+300000+100000+2340+145000+9375+294565.5+200000+450000+200000+142020+795868+172117+162900+900000+1835778.2+450000+446864.58+300000+200000+300000+150000+260000+30000+13500+400000+200000+1347334.09+499000</f>
        <v>12114323.559999999</v>
      </c>
      <c r="AG101" s="11">
        <f>12114323.56</f>
        <v>12114323.560000001</v>
      </c>
      <c r="AH101" s="11">
        <f>1469000+440661.19+300000+100000+2340+145000+9375+294565.5+200000+552000+200000+142020+795868+172117+162900+900000+1835778.2+450000+446864.58+250000+250000+300000+150000+260000+30000+13500+17000+400000+200000+1394934.09+516000</f>
        <v>12399923.559999999</v>
      </c>
      <c r="AI101" s="11"/>
      <c r="AJ101" s="11"/>
      <c r="AK101" s="11"/>
      <c r="AL101" s="11">
        <f>12399923.56</f>
        <v>12399923.560000001</v>
      </c>
      <c r="AM101" s="17">
        <v>3.4000000000000002E-2</v>
      </c>
      <c r="AN101" s="17">
        <f t="shared" si="27"/>
        <v>421600.00000000006</v>
      </c>
      <c r="AO101" s="11">
        <f>102000+102000+136000+17000+17000+47600</f>
        <v>421600</v>
      </c>
      <c r="AP101" s="11">
        <f>421600</f>
        <v>421600</v>
      </c>
      <c r="AQ101" s="11">
        <f t="shared" si="32"/>
        <v>0</v>
      </c>
      <c r="AR101" s="11"/>
      <c r="AS101" s="11">
        <v>25</v>
      </c>
      <c r="AT101" s="11" t="s">
        <v>907</v>
      </c>
    </row>
    <row r="102" spans="1:46" x14ac:dyDescent="0.15">
      <c r="A102" s="54">
        <v>41000</v>
      </c>
      <c r="B102" s="11" t="s">
        <v>967</v>
      </c>
      <c r="C102" s="11" t="s">
        <v>104</v>
      </c>
      <c r="D102" s="11" t="s">
        <v>968</v>
      </c>
      <c r="E102" s="11" t="s">
        <v>900</v>
      </c>
      <c r="F102" s="11"/>
      <c r="G102" s="11" t="s">
        <v>943</v>
      </c>
      <c r="H102" s="11" t="s">
        <v>969</v>
      </c>
      <c r="I102" s="11" t="s">
        <v>970</v>
      </c>
      <c r="J102" s="11" t="s">
        <v>969</v>
      </c>
      <c r="K102" s="11" t="s">
        <v>894</v>
      </c>
      <c r="L102" s="11"/>
      <c r="M102" s="11">
        <v>1315898</v>
      </c>
      <c r="N102" s="11"/>
      <c r="O102" s="11"/>
      <c r="P102" s="11"/>
      <c r="Q102" s="15"/>
      <c r="R102" s="16"/>
      <c r="S102" s="11"/>
      <c r="T102" s="11"/>
      <c r="U102" s="11" t="s">
        <v>906</v>
      </c>
      <c r="V102" s="17">
        <v>3.5999999999999997E-2</v>
      </c>
      <c r="W102" s="11">
        <f t="shared" si="30"/>
        <v>47372.327999999994</v>
      </c>
      <c r="X102" s="11"/>
      <c r="Y102" s="11"/>
      <c r="Z102" s="11">
        <f t="shared" si="31"/>
        <v>47372.327999999994</v>
      </c>
      <c r="AA102" s="11"/>
      <c r="AB102" s="11"/>
      <c r="AC102" s="11">
        <v>0</v>
      </c>
      <c r="AD102" s="11">
        <v>0</v>
      </c>
      <c r="AE102" s="18"/>
      <c r="AF102" s="11"/>
      <c r="AG102" s="11"/>
      <c r="AH102" s="11"/>
      <c r="AI102" s="11"/>
      <c r="AJ102" s="11"/>
      <c r="AK102" s="11"/>
      <c r="AL102" s="11"/>
      <c r="AM102" s="17">
        <v>3.4000000000000002E-2</v>
      </c>
      <c r="AN102" s="17">
        <f t="shared" si="27"/>
        <v>0</v>
      </c>
      <c r="AO102" s="11"/>
      <c r="AP102" s="11"/>
      <c r="AQ102" s="11">
        <f t="shared" si="32"/>
        <v>0</v>
      </c>
      <c r="AR102" s="11"/>
      <c r="AS102" s="11">
        <v>6</v>
      </c>
      <c r="AT102" s="11" t="s">
        <v>971</v>
      </c>
    </row>
    <row r="103" spans="1:46" x14ac:dyDescent="0.15">
      <c r="A103" s="54">
        <v>40988</v>
      </c>
      <c r="B103" s="11" t="s">
        <v>972</v>
      </c>
      <c r="C103" s="11" t="s">
        <v>93</v>
      </c>
      <c r="D103" s="11" t="s">
        <v>973</v>
      </c>
      <c r="E103" s="11" t="s">
        <v>900</v>
      </c>
      <c r="F103" s="11" t="s">
        <v>974</v>
      </c>
      <c r="G103" s="11" t="s">
        <v>943</v>
      </c>
      <c r="H103" s="11" t="s">
        <v>975</v>
      </c>
      <c r="I103" s="11" t="s">
        <v>976</v>
      </c>
      <c r="J103" s="11" t="s">
        <v>977</v>
      </c>
      <c r="K103" s="11" t="s">
        <v>526</v>
      </c>
      <c r="L103" s="11"/>
      <c r="M103" s="11">
        <v>1523208.31</v>
      </c>
      <c r="N103" s="11"/>
      <c r="O103" s="11"/>
      <c r="P103" s="11"/>
      <c r="Q103" s="15" t="s">
        <v>978</v>
      </c>
      <c r="R103" s="16">
        <v>41748</v>
      </c>
      <c r="S103" s="11">
        <v>538</v>
      </c>
      <c r="T103" s="11"/>
      <c r="U103" s="11" t="s">
        <v>906</v>
      </c>
      <c r="V103" s="17">
        <v>3.5999999999999997E-2</v>
      </c>
      <c r="W103" s="11">
        <f t="shared" si="30"/>
        <v>54835.499159999999</v>
      </c>
      <c r="X103" s="11">
        <f>54835.5</f>
        <v>54835.5</v>
      </c>
      <c r="Y103" s="11">
        <f>54835.5</f>
        <v>54835.5</v>
      </c>
      <c r="Z103" s="11">
        <v>0</v>
      </c>
      <c r="AA103" s="11">
        <f>358401.96+300000+500000+136325.1</f>
        <v>1294727.06</v>
      </c>
      <c r="AB103" s="11">
        <f>1294727.06</f>
        <v>1294727.06</v>
      </c>
      <c r="AC103" s="11">
        <v>1294727.06</v>
      </c>
      <c r="AD103" s="11">
        <v>1294727.06</v>
      </c>
      <c r="AE103" s="18">
        <f t="shared" ref="AE103:AE140" si="33">AC103/(M103+N103)</f>
        <v>0.84999999770221846</v>
      </c>
      <c r="AF103" s="11">
        <f>89910+39984+105000+42000+161181.05+137145.99+20155+5376.03+20000+24300+100000+161500+50000+2600+90500</f>
        <v>1049652.07</v>
      </c>
      <c r="AG103" s="11">
        <f>1049652.07</f>
        <v>1049652.07</v>
      </c>
      <c r="AH103" s="11">
        <f>104246.41+39984+105000+42000+171381.05+137145.99+20155+5376.03+20000+124300+100000+178500+50000+2600+98800+95135</f>
        <v>1294623.48</v>
      </c>
      <c r="AI103" s="11"/>
      <c r="AJ103" s="11"/>
      <c r="AK103" s="11"/>
      <c r="AL103" s="11">
        <f>1294623.48</f>
        <v>1294623.48</v>
      </c>
      <c r="AM103" s="17">
        <v>3.4000000000000002E-2</v>
      </c>
      <c r="AN103" s="17">
        <f t="shared" si="27"/>
        <v>44020.720040000007</v>
      </c>
      <c r="AO103" s="11">
        <f>12186+10200+17000+4635</f>
        <v>44021</v>
      </c>
      <c r="AP103" s="11">
        <f>44021</f>
        <v>44021</v>
      </c>
      <c r="AQ103" s="11">
        <v>0</v>
      </c>
      <c r="AR103" s="11"/>
      <c r="AS103" s="11">
        <v>20</v>
      </c>
      <c r="AT103" s="11" t="s">
        <v>948</v>
      </c>
    </row>
    <row r="104" spans="1:46" x14ac:dyDescent="0.15">
      <c r="A104" s="54">
        <v>40988</v>
      </c>
      <c r="B104" s="11" t="s">
        <v>979</v>
      </c>
      <c r="C104" s="11" t="s">
        <v>980</v>
      </c>
      <c r="D104" s="11" t="s">
        <v>981</v>
      </c>
      <c r="E104" s="11" t="s">
        <v>900</v>
      </c>
      <c r="F104" s="11" t="s">
        <v>982</v>
      </c>
      <c r="G104" s="11" t="s">
        <v>983</v>
      </c>
      <c r="H104" s="11" t="s">
        <v>969</v>
      </c>
      <c r="I104" s="11" t="s">
        <v>970</v>
      </c>
      <c r="J104" s="11" t="s">
        <v>969</v>
      </c>
      <c r="K104" s="11" t="s">
        <v>894</v>
      </c>
      <c r="L104" s="11"/>
      <c r="M104" s="11">
        <v>3701841.55</v>
      </c>
      <c r="N104" s="11">
        <f>673798.57+367818.86+862170.99+396606.7+2270162.53</f>
        <v>4570557.6500000004</v>
      </c>
      <c r="O104" s="11"/>
      <c r="P104" s="11"/>
      <c r="Q104" s="15" t="s">
        <v>984</v>
      </c>
      <c r="R104" s="16">
        <v>41026</v>
      </c>
      <c r="S104" s="11">
        <v>1049</v>
      </c>
      <c r="T104" s="11"/>
      <c r="U104" s="11" t="s">
        <v>985</v>
      </c>
      <c r="V104" s="17">
        <v>0.03</v>
      </c>
      <c r="W104" s="11">
        <f>(M104+N104)*V104</f>
        <v>248171.976</v>
      </c>
      <c r="X104" s="11">
        <f>19778+100000+60289+38105+30000</f>
        <v>248172</v>
      </c>
      <c r="Y104" s="11">
        <f>248172</f>
        <v>248172</v>
      </c>
      <c r="Z104" s="11">
        <v>0</v>
      </c>
      <c r="AA104" s="11">
        <f>128736.6+220691.31+301760+1295644.55+301762+373430.79+2059943.23+1362097.5+200000+150000+336899.28+331048.78+29775.08+160990.72+30700.46+33331.43</f>
        <v>7316811.7300000004</v>
      </c>
      <c r="AB104" s="11">
        <f>7316811.73</f>
        <v>7316811.7300000004</v>
      </c>
      <c r="AC104" s="11">
        <v>7294401.4500000002</v>
      </c>
      <c r="AD104" s="11">
        <v>7294401.4499999993</v>
      </c>
      <c r="AE104" s="18">
        <f t="shared" si="33"/>
        <v>0.88177580332438499</v>
      </c>
      <c r="AF104" s="11">
        <f>63729.19+29000+132091.41+99800+11240.8+155417.64+21419.52+264321+390323.02+199730.36+40000+15000+151962.19+80000+130570.34+200000+200000+209975+22789+34000+354741+548000+225058+9356+83580+182572+47000+333255.78+79000+1089794.61+154138+109569.6+10000+6000+10000+11000+8500+10000+16000+150000+49978+101600+22000+25000+36660+30000+318296.4+206225.76+43869.34+50000+60000</f>
        <v>6832563.96</v>
      </c>
      <c r="AG104" s="11">
        <f>6832563.96</f>
        <v>6832563.96</v>
      </c>
      <c r="AH104" s="11">
        <f>68106.19+7504+29000+132091.41+99800+11240.8+209729.64+21419.52+264321+390323.02+100000+40000+39912.56+251962.19+90260+130570.34+235336+12697+200000+209975+22789+34000+10614.3+424779+548000+225058+9356+83580+228883+47000+333255.78+79000+1089794.61+154138+3000+109569.6+10000+6000+10000+11000+8500+10000+6800+16000+5100+150000+49978+11455+101600+22000+25000+36660+30000+11256+318296.4+6486+206225.76+43869.34+50000+60000+2177</f>
        <v>7155469.46</v>
      </c>
      <c r="AI104" s="11"/>
      <c r="AJ104" s="11"/>
      <c r="AK104" s="11"/>
      <c r="AL104" s="11">
        <f>7153292.46+2177</f>
        <v>7155469.46</v>
      </c>
      <c r="AM104" s="17">
        <v>3.4000000000000002E-2</v>
      </c>
      <c r="AN104" s="17">
        <f t="shared" si="27"/>
        <v>248771.59882000004</v>
      </c>
      <c r="AO104" s="11">
        <f>4377+7504+10260+44052+10260+12697+70038+46311+6800+5100+11455+11256+1012+5474+2177</f>
        <v>248773</v>
      </c>
      <c r="AP104" s="11">
        <f>246596+2177</f>
        <v>248773</v>
      </c>
      <c r="AQ104" s="11">
        <v>0</v>
      </c>
      <c r="AR104" s="11"/>
      <c r="AS104" s="11">
        <v>57</v>
      </c>
      <c r="AT104" s="11" t="s">
        <v>971</v>
      </c>
    </row>
    <row r="105" spans="1:46" x14ac:dyDescent="0.15">
      <c r="A105" s="54">
        <v>40989</v>
      </c>
      <c r="B105" s="11" t="s">
        <v>986</v>
      </c>
      <c r="C105" s="11" t="s">
        <v>98</v>
      </c>
      <c r="D105" s="11" t="s">
        <v>987</v>
      </c>
      <c r="E105" s="11" t="s">
        <v>988</v>
      </c>
      <c r="F105" s="11" t="s">
        <v>989</v>
      </c>
      <c r="G105" s="11" t="s">
        <v>943</v>
      </c>
      <c r="H105" s="11" t="s">
        <v>990</v>
      </c>
      <c r="I105" s="11" t="s">
        <v>991</v>
      </c>
      <c r="J105" s="11" t="s">
        <v>992</v>
      </c>
      <c r="K105" s="11" t="s">
        <v>894</v>
      </c>
      <c r="L105" s="11"/>
      <c r="M105" s="11">
        <v>5578834.2999999998</v>
      </c>
      <c r="N105" s="11"/>
      <c r="O105" s="11"/>
      <c r="P105" s="11"/>
      <c r="Q105" s="15" t="s">
        <v>993</v>
      </c>
      <c r="R105" s="16">
        <v>40992</v>
      </c>
      <c r="S105" s="11">
        <v>1674</v>
      </c>
      <c r="T105" s="11"/>
      <c r="U105" s="11" t="s">
        <v>906</v>
      </c>
      <c r="V105" s="17">
        <v>3.5999999999999997E-2</v>
      </c>
      <c r="W105" s="11">
        <f t="shared" ref="W105:W125" si="34">(M105+N105)*V105</f>
        <v>200838.03479999996</v>
      </c>
      <c r="X105" s="11">
        <f>200838</f>
        <v>200838</v>
      </c>
      <c r="Y105" s="11">
        <f>200838</f>
        <v>200838</v>
      </c>
      <c r="Z105" s="11">
        <v>0</v>
      </c>
      <c r="AA105" s="11">
        <f>1613000+400000+1153000+250000</f>
        <v>3416000</v>
      </c>
      <c r="AB105" s="11">
        <f>3416000</f>
        <v>3416000</v>
      </c>
      <c r="AC105" s="11">
        <v>3416000</v>
      </c>
      <c r="AD105" s="11">
        <v>3416000</v>
      </c>
      <c r="AE105" s="18">
        <f t="shared" si="33"/>
        <v>0.61231429655474801</v>
      </c>
      <c r="AF105" s="11">
        <f>400000+6694.6+102870+30000.01+103028.7+68540.8+87722.4+510309.2-2448.6+123200+100000+8734.34+110468.4+194000+780189.4+379253.2+250000</f>
        <v>3252562.45</v>
      </c>
      <c r="AG105" s="11">
        <f>3252562.45</f>
        <v>3252562.45</v>
      </c>
      <c r="AH105" s="11">
        <f>400000+6694.6+102870+30000.01+190751.1+87609.99+565151.2-2448.6+123200+100000+11000+22334.34+110468.4+205000+39202+780189.4+379253.2+258500</f>
        <v>3409775.64</v>
      </c>
      <c r="AI105" s="11"/>
      <c r="AJ105" s="11"/>
      <c r="AK105" s="11"/>
      <c r="AL105" s="11">
        <f>3409775.64</f>
        <v>3409775.64</v>
      </c>
      <c r="AM105" s="17">
        <v>3.4000000000000002E-2</v>
      </c>
      <c r="AN105" s="17">
        <f t="shared" si="27"/>
        <v>116144.00000000001</v>
      </c>
      <c r="AO105" s="11">
        <f>54842+13600+39202+8500</f>
        <v>116144</v>
      </c>
      <c r="AP105" s="11">
        <f>116144</f>
        <v>116144</v>
      </c>
      <c r="AQ105" s="11">
        <f>AN105-AP105</f>
        <v>0</v>
      </c>
      <c r="AR105" s="11"/>
      <c r="AS105" s="11">
        <v>64</v>
      </c>
      <c r="AT105" s="11" t="s">
        <v>994</v>
      </c>
    </row>
    <row r="106" spans="1:46" x14ac:dyDescent="0.15">
      <c r="A106" s="54">
        <v>40998</v>
      </c>
      <c r="B106" s="11" t="s">
        <v>995</v>
      </c>
      <c r="C106" s="11" t="s">
        <v>101</v>
      </c>
      <c r="D106" s="11" t="s">
        <v>996</v>
      </c>
      <c r="E106" s="11" t="s">
        <v>988</v>
      </c>
      <c r="F106" s="11" t="s">
        <v>997</v>
      </c>
      <c r="G106" s="11" t="s">
        <v>998</v>
      </c>
      <c r="H106" s="11" t="s">
        <v>999</v>
      </c>
      <c r="I106" s="11" t="s">
        <v>1000</v>
      </c>
      <c r="J106" s="11"/>
      <c r="K106" s="11" t="s">
        <v>1001</v>
      </c>
      <c r="L106" s="11"/>
      <c r="M106" s="11">
        <v>5045600</v>
      </c>
      <c r="N106" s="11">
        <f>118800</f>
        <v>118800</v>
      </c>
      <c r="O106" s="11"/>
      <c r="P106" s="11"/>
      <c r="Q106" s="15" t="s">
        <v>1002</v>
      </c>
      <c r="R106" s="16">
        <v>41012</v>
      </c>
      <c r="S106" s="11">
        <v>1514</v>
      </c>
      <c r="T106" s="11"/>
      <c r="U106" s="11" t="s">
        <v>906</v>
      </c>
      <c r="V106" s="17">
        <v>3.5999999999999997E-2</v>
      </c>
      <c r="W106" s="11">
        <f t="shared" si="34"/>
        <v>185918.4</v>
      </c>
      <c r="X106" s="11">
        <f>100000+81642.85+4277</f>
        <v>185919.85</v>
      </c>
      <c r="Y106" s="11">
        <f>185919.85</f>
        <v>185919.85</v>
      </c>
      <c r="Z106" s="11">
        <v>0</v>
      </c>
      <c r="AA106" s="11">
        <f>1513680+1513680+1009120+504560+83160</f>
        <v>4624200</v>
      </c>
      <c r="AB106" s="11">
        <f>4624200</f>
        <v>4624200</v>
      </c>
      <c r="AC106" s="11">
        <v>4737414.8600000003</v>
      </c>
      <c r="AD106" s="11">
        <v>4737414.8600000003</v>
      </c>
      <c r="AE106" s="18">
        <f t="shared" si="33"/>
        <v>0.91732144295561935</v>
      </c>
      <c r="AF106" s="11">
        <f>1200000+100000+50000+97257.25+420200+225903.68+50000+140000+100000+308774.17+30000+620000+125498.57+350000+100000+25350+70000+52896.65+97117.61+40000+73214.86</f>
        <v>4276212.79</v>
      </c>
      <c r="AG106" s="11">
        <f>4276212.79</f>
        <v>4276212.79</v>
      </c>
      <c r="AH106" s="11">
        <f>1306054.72+50859.65+100000+20000+97257.25+100000+474843.85+225903.68+50000+140000+100000+308774.17+209643.85+620000+125498.57+280000+70000+100000+25350+70000+52896.65+97117.61+40000+73214.86</f>
        <v>4737414.8600000013</v>
      </c>
      <c r="AI106" s="11"/>
      <c r="AJ106" s="11"/>
      <c r="AK106" s="11"/>
      <c r="AL106" s="11">
        <f>4737414.86</f>
        <v>4737414.8600000003</v>
      </c>
      <c r="AM106" s="17"/>
      <c r="AN106" s="17">
        <f t="shared" si="27"/>
        <v>0</v>
      </c>
      <c r="AO106" s="11"/>
      <c r="AP106" s="11"/>
      <c r="AQ106" s="11">
        <f t="shared" ref="AQ106:AQ125" si="35">AN106-AP106</f>
        <v>0</v>
      </c>
      <c r="AR106" s="11"/>
      <c r="AS106" s="11">
        <v>54</v>
      </c>
      <c r="AT106" s="11" t="s">
        <v>1000</v>
      </c>
    </row>
    <row r="107" spans="1:46" x14ac:dyDescent="0.15">
      <c r="A107" s="54">
        <v>41006</v>
      </c>
      <c r="B107" s="11" t="s">
        <v>1003</v>
      </c>
      <c r="C107" s="11" t="s">
        <v>110</v>
      </c>
      <c r="D107" s="11" t="s">
        <v>1004</v>
      </c>
      <c r="E107" s="11" t="s">
        <v>900</v>
      </c>
      <c r="F107" s="11" t="s">
        <v>1005</v>
      </c>
      <c r="G107" s="11" t="s">
        <v>943</v>
      </c>
      <c r="H107" s="11" t="s">
        <v>1006</v>
      </c>
      <c r="I107" s="11" t="s">
        <v>1007</v>
      </c>
      <c r="J107" s="11" t="s">
        <v>1008</v>
      </c>
      <c r="K107" s="11" t="s">
        <v>894</v>
      </c>
      <c r="L107" s="11"/>
      <c r="M107" s="11">
        <v>4328546</v>
      </c>
      <c r="N107" s="11"/>
      <c r="O107" s="11"/>
      <c r="P107" s="11"/>
      <c r="Q107" s="15" t="s">
        <v>1009</v>
      </c>
      <c r="R107" s="16">
        <v>41100</v>
      </c>
      <c r="S107" s="11">
        <v>1299</v>
      </c>
      <c r="T107" s="11"/>
      <c r="U107" s="11" t="s">
        <v>906</v>
      </c>
      <c r="V107" s="17">
        <v>4.5999999999999999E-2</v>
      </c>
      <c r="W107" s="11">
        <f t="shared" si="34"/>
        <v>199113.11600000001</v>
      </c>
      <c r="X107" s="11">
        <f>60000+100000+39113</f>
        <v>199113</v>
      </c>
      <c r="Y107" s="11">
        <f>199113</f>
        <v>199113</v>
      </c>
      <c r="Z107" s="11">
        <v>0</v>
      </c>
      <c r="AA107" s="11">
        <f>346284+1038851+1731418+346284</f>
        <v>3462837</v>
      </c>
      <c r="AB107" s="11">
        <f>3462837</f>
        <v>3462837</v>
      </c>
      <c r="AC107" s="11">
        <v>3462837</v>
      </c>
      <c r="AD107" s="11">
        <v>3462837</v>
      </c>
      <c r="AE107" s="18">
        <f t="shared" si="33"/>
        <v>0.80000004620489185</v>
      </c>
      <c r="AF107" s="11">
        <f>5194.26+292000+27000+586600+191000+232400+438050+50000+499820+310000+250000+60000+11000+70000+35385+200000+14500+6000</f>
        <v>3278949.26</v>
      </c>
      <c r="AG107" s="11">
        <f>3278949.26</f>
        <v>3278949.26</v>
      </c>
      <c r="AH107" s="11">
        <f>308968.26+27000+35321+586600+191000+232400+496918+50000+499820+310000+250000+107612.5+13183.7+2000+81774+35385+200000+14500+15753.4-15753.4+14153.4+6000</f>
        <v>3462635.86</v>
      </c>
      <c r="AI107" s="11"/>
      <c r="AJ107" s="11"/>
      <c r="AK107" s="11"/>
      <c r="AL107" s="11">
        <f>3462635.86</f>
        <v>3462635.86</v>
      </c>
      <c r="AM107" s="17">
        <v>3.4000000000000002E-2</v>
      </c>
      <c r="AN107" s="17">
        <f t="shared" si="27"/>
        <v>117736.45800000001</v>
      </c>
      <c r="AO107" s="11">
        <f>11774+35321+58868+11774</f>
        <v>117737</v>
      </c>
      <c r="AP107" s="11">
        <f>117737</f>
        <v>117737</v>
      </c>
      <c r="AQ107" s="11">
        <v>0</v>
      </c>
      <c r="AR107" s="11"/>
      <c r="AS107" s="11">
        <v>55</v>
      </c>
      <c r="AT107" s="11" t="s">
        <v>948</v>
      </c>
    </row>
    <row r="108" spans="1:46" x14ac:dyDescent="0.15">
      <c r="A108" s="54">
        <v>41000</v>
      </c>
      <c r="B108" s="11" t="s">
        <v>1010</v>
      </c>
      <c r="C108" s="11" t="s">
        <v>108</v>
      </c>
      <c r="D108" s="11" t="s">
        <v>1011</v>
      </c>
      <c r="E108" s="11" t="s">
        <v>900</v>
      </c>
      <c r="F108" s="11" t="s">
        <v>1012</v>
      </c>
      <c r="G108" s="11" t="s">
        <v>943</v>
      </c>
      <c r="H108" s="11" t="s">
        <v>1013</v>
      </c>
      <c r="I108" s="11" t="s">
        <v>1014</v>
      </c>
      <c r="J108" s="11" t="s">
        <v>1015</v>
      </c>
      <c r="K108" s="11" t="s">
        <v>894</v>
      </c>
      <c r="L108" s="11"/>
      <c r="M108" s="11">
        <v>416950</v>
      </c>
      <c r="N108" s="11">
        <v>36973.599999999999</v>
      </c>
      <c r="O108" s="11"/>
      <c r="P108" s="11">
        <v>453923.6</v>
      </c>
      <c r="Q108" s="15" t="s">
        <v>1016</v>
      </c>
      <c r="R108" s="16">
        <v>41032</v>
      </c>
      <c r="S108" s="11">
        <v>126</v>
      </c>
      <c r="T108" s="11"/>
      <c r="U108" s="11" t="s">
        <v>906</v>
      </c>
      <c r="V108" s="17">
        <v>3.5999999999999997E-2</v>
      </c>
      <c r="W108" s="11">
        <f>P108*V108</f>
        <v>16341.249599999997</v>
      </c>
      <c r="X108" s="11">
        <f>15010</f>
        <v>15010</v>
      </c>
      <c r="Y108" s="11">
        <f>15010</f>
        <v>15010</v>
      </c>
      <c r="Z108" s="11">
        <f t="shared" ref="Z108:Z121" si="36">W108-Y108</f>
        <v>1331.2495999999974</v>
      </c>
      <c r="AA108" s="11">
        <f>304434+49974+76820</f>
        <v>431228</v>
      </c>
      <c r="AB108" s="11">
        <f>431228</f>
        <v>431228</v>
      </c>
      <c r="AC108" s="11">
        <v>431228</v>
      </c>
      <c r="AD108" s="11">
        <v>431228</v>
      </c>
      <c r="AE108" s="18">
        <f t="shared" si="33"/>
        <v>0.95000127774806165</v>
      </c>
      <c r="AF108" s="11">
        <f>60500+50000+75000+70000</f>
        <v>255500</v>
      </c>
      <c r="AG108" s="11">
        <f>255500</f>
        <v>255500</v>
      </c>
      <c r="AH108" s="11">
        <f>10351+160500+50000+75000+58557+72612</f>
        <v>427020</v>
      </c>
      <c r="AI108" s="11"/>
      <c r="AJ108" s="11"/>
      <c r="AK108" s="11"/>
      <c r="AL108" s="11">
        <f>427020</f>
        <v>427020</v>
      </c>
      <c r="AM108" s="17">
        <v>3.4000000000000002E-2</v>
      </c>
      <c r="AN108" s="17">
        <f t="shared" si="27"/>
        <v>14661.752</v>
      </c>
      <c r="AO108" s="11">
        <f>10351+2612+1699</f>
        <v>14662</v>
      </c>
      <c r="AP108" s="11">
        <f>14662</f>
        <v>14662</v>
      </c>
      <c r="AQ108" s="11">
        <v>0</v>
      </c>
      <c r="AR108" s="11"/>
      <c r="AS108" s="11"/>
      <c r="AT108" s="11"/>
    </row>
    <row r="109" spans="1:46" x14ac:dyDescent="0.15">
      <c r="A109" s="54">
        <v>41031</v>
      </c>
      <c r="B109" s="11" t="s">
        <v>1017</v>
      </c>
      <c r="C109" s="11" t="s">
        <v>116</v>
      </c>
      <c r="D109" s="11" t="s">
        <v>1018</v>
      </c>
      <c r="E109" s="11" t="s">
        <v>900</v>
      </c>
      <c r="F109" s="11" t="s">
        <v>1019</v>
      </c>
      <c r="G109" s="11" t="s">
        <v>943</v>
      </c>
      <c r="H109" s="11" t="s">
        <v>1015</v>
      </c>
      <c r="I109" s="11" t="s">
        <v>912</v>
      </c>
      <c r="J109" s="11" t="s">
        <v>1015</v>
      </c>
      <c r="K109" s="11" t="s">
        <v>894</v>
      </c>
      <c r="L109" s="11"/>
      <c r="M109" s="11">
        <v>1785000</v>
      </c>
      <c r="N109" s="11"/>
      <c r="O109" s="11"/>
      <c r="P109" s="11"/>
      <c r="Q109" s="15" t="s">
        <v>1020</v>
      </c>
      <c r="R109" s="16">
        <v>41032</v>
      </c>
      <c r="S109" s="11">
        <v>536</v>
      </c>
      <c r="T109" s="11"/>
      <c r="U109" s="11" t="s">
        <v>938</v>
      </c>
      <c r="V109" s="17">
        <v>3.5999999999999997E-2</v>
      </c>
      <c r="W109" s="11">
        <f t="shared" si="34"/>
        <v>64259.999999999993</v>
      </c>
      <c r="X109" s="11">
        <f>64260</f>
        <v>64260</v>
      </c>
      <c r="Y109" s="11">
        <f>64260</f>
        <v>64260</v>
      </c>
      <c r="Z109" s="11">
        <f t="shared" si="36"/>
        <v>0</v>
      </c>
      <c r="AA109" s="11">
        <f>500000</f>
        <v>500000</v>
      </c>
      <c r="AB109" s="11">
        <f>500000</f>
        <v>500000</v>
      </c>
      <c r="AC109" s="11">
        <v>500000</v>
      </c>
      <c r="AD109" s="11">
        <v>500000</v>
      </c>
      <c r="AE109" s="18">
        <f t="shared" si="33"/>
        <v>0.28011204481792717</v>
      </c>
      <c r="AF109" s="11">
        <f>2142+301400+19699+50000+5355+2400+15000</f>
        <v>395996</v>
      </c>
      <c r="AG109" s="11">
        <f>395996</f>
        <v>395996</v>
      </c>
      <c r="AH109" s="11">
        <f>2142+103045.97+301400+19699+50000+5355+2400+15000</f>
        <v>499041.97</v>
      </c>
      <c r="AI109" s="11"/>
      <c r="AJ109" s="11"/>
      <c r="AK109" s="11"/>
      <c r="AL109" s="11">
        <f>499041.97</f>
        <v>499041.97</v>
      </c>
      <c r="AM109" s="17">
        <v>3.4000000000000002E-2</v>
      </c>
      <c r="AN109" s="17">
        <f t="shared" si="27"/>
        <v>17000</v>
      </c>
      <c r="AO109" s="11">
        <f>17000</f>
        <v>17000</v>
      </c>
      <c r="AP109" s="11">
        <f>17000</f>
        <v>17000</v>
      </c>
      <c r="AQ109" s="11">
        <f t="shared" si="35"/>
        <v>0</v>
      </c>
      <c r="AR109" s="11"/>
      <c r="AS109" s="11">
        <v>20</v>
      </c>
      <c r="AT109" s="11" t="s">
        <v>948</v>
      </c>
    </row>
    <row r="110" spans="1:46" x14ac:dyDescent="0.15">
      <c r="A110" s="54">
        <v>41039</v>
      </c>
      <c r="B110" s="11" t="s">
        <v>1021</v>
      </c>
      <c r="C110" s="11" t="s">
        <v>118</v>
      </c>
      <c r="D110" s="11" t="s">
        <v>1022</v>
      </c>
      <c r="E110" s="11" t="s">
        <v>988</v>
      </c>
      <c r="F110" s="11" t="s">
        <v>1023</v>
      </c>
      <c r="G110" s="11" t="s">
        <v>943</v>
      </c>
      <c r="H110" s="11" t="s">
        <v>1024</v>
      </c>
      <c r="I110" s="11" t="s">
        <v>1025</v>
      </c>
      <c r="J110" s="11" t="s">
        <v>1026</v>
      </c>
      <c r="K110" s="11" t="s">
        <v>894</v>
      </c>
      <c r="L110" s="11"/>
      <c r="M110" s="11">
        <v>2220000</v>
      </c>
      <c r="N110" s="11">
        <v>351000</v>
      </c>
      <c r="O110" s="11"/>
      <c r="P110" s="11">
        <v>2571000</v>
      </c>
      <c r="Q110" s="15" t="s">
        <v>1027</v>
      </c>
      <c r="R110" s="16">
        <v>41075</v>
      </c>
      <c r="S110" s="11">
        <v>666</v>
      </c>
      <c r="T110" s="11"/>
      <c r="U110" s="11" t="s">
        <v>906</v>
      </c>
      <c r="V110" s="17">
        <v>3.5999999999999997E-2</v>
      </c>
      <c r="W110" s="11">
        <f>P110*V110</f>
        <v>92556</v>
      </c>
      <c r="X110" s="11">
        <f>79920+12636</f>
        <v>92556</v>
      </c>
      <c r="Y110" s="11">
        <f>92556</f>
        <v>92556</v>
      </c>
      <c r="Z110" s="11">
        <f t="shared" si="36"/>
        <v>0</v>
      </c>
      <c r="AA110" s="11">
        <f>300000+500000+300000+150000+150000+80000+70000</f>
        <v>1550000</v>
      </c>
      <c r="AB110" s="11">
        <f>1550000</f>
        <v>1550000</v>
      </c>
      <c r="AC110" s="11">
        <v>1530000</v>
      </c>
      <c r="AD110" s="11">
        <v>1530000</v>
      </c>
      <c r="AE110" s="18">
        <f t="shared" si="33"/>
        <v>0.59509918319719957</v>
      </c>
      <c r="AF110" s="11">
        <f>200000+57888.89+29370+93077.11+200000+100000+50000+79600+144900</f>
        <v>954836</v>
      </c>
      <c r="AG110" s="11">
        <f>954836</f>
        <v>954836</v>
      </c>
      <c r="AH110" s="11">
        <f>200000+2664+57888.89+29370+417000+93077.11+200000+10200+100000+50000+50000+10200+79600+80000+150000</f>
        <v>1530000</v>
      </c>
      <c r="AI110" s="11"/>
      <c r="AJ110" s="11"/>
      <c r="AK110" s="11"/>
      <c r="AL110" s="11">
        <f>1530000</f>
        <v>1530000</v>
      </c>
      <c r="AM110" s="17">
        <v>3.4000000000000002E-2</v>
      </c>
      <c r="AN110" s="17">
        <f t="shared" si="27"/>
        <v>52700.000000000007</v>
      </c>
      <c r="AO110" s="11">
        <f>10200+17000+10200+5100+5100+2720+2380</f>
        <v>52700</v>
      </c>
      <c r="AP110" s="11">
        <f>52700</f>
        <v>52700</v>
      </c>
      <c r="AQ110" s="11">
        <f t="shared" si="35"/>
        <v>0</v>
      </c>
      <c r="AR110" s="11"/>
      <c r="AS110" s="11">
        <v>26</v>
      </c>
      <c r="AT110" s="11" t="s">
        <v>948</v>
      </c>
    </row>
    <row r="111" spans="1:46" x14ac:dyDescent="0.15">
      <c r="A111" s="54">
        <v>41030</v>
      </c>
      <c r="B111" s="11" t="s">
        <v>1028</v>
      </c>
      <c r="C111" s="11" t="s">
        <v>114</v>
      </c>
      <c r="D111" s="11" t="s">
        <v>1029</v>
      </c>
      <c r="E111" s="11" t="s">
        <v>900</v>
      </c>
      <c r="F111" s="11" t="s">
        <v>1030</v>
      </c>
      <c r="G111" s="11" t="s">
        <v>1031</v>
      </c>
      <c r="H111" s="11" t="s">
        <v>1032</v>
      </c>
      <c r="I111" s="11" t="s">
        <v>1033</v>
      </c>
      <c r="J111" s="11" t="s">
        <v>1032</v>
      </c>
      <c r="K111" s="11" t="s">
        <v>1001</v>
      </c>
      <c r="L111" s="11"/>
      <c r="M111" s="11">
        <v>5473241</v>
      </c>
      <c r="N111" s="11">
        <v>47753</v>
      </c>
      <c r="O111" s="11"/>
      <c r="P111" s="11">
        <v>5520994</v>
      </c>
      <c r="Q111" s="15"/>
      <c r="R111" s="16"/>
      <c r="S111" s="11"/>
      <c r="T111" s="11"/>
      <c r="U111" s="11" t="s">
        <v>906</v>
      </c>
      <c r="V111" s="17">
        <v>0.03</v>
      </c>
      <c r="W111" s="11">
        <f t="shared" si="34"/>
        <v>165629.82</v>
      </c>
      <c r="X111" s="11">
        <f>90000+74197</f>
        <v>164197</v>
      </c>
      <c r="Y111" s="11">
        <f>164197</f>
        <v>164197</v>
      </c>
      <c r="Z111" s="11">
        <f t="shared" si="36"/>
        <v>1432.820000000007</v>
      </c>
      <c r="AA111" s="11">
        <f>1322945+1000000+2055647.8+1142401.2</f>
        <v>5520994</v>
      </c>
      <c r="AB111" s="11">
        <f>5520994</f>
        <v>5520994</v>
      </c>
      <c r="AC111" s="11">
        <v>5244944.3</v>
      </c>
      <c r="AD111" s="11">
        <v>5244944.3</v>
      </c>
      <c r="AE111" s="18">
        <f t="shared" si="33"/>
        <v>0.95</v>
      </c>
      <c r="AF111" s="11">
        <f>50000+23200+555000+300368.12+100000+100000+30000+200500+100000+200000+10124+999840+142554.07+99900+499500+190000+154571+258000+30000+200000+200000+139896</f>
        <v>4583453.1899999995</v>
      </c>
      <c r="AG111" s="11">
        <f>4583453.19</f>
        <v>4583453.1900000004</v>
      </c>
      <c r="AH111" s="11">
        <f>144847.83+73200+555000+300368.12+200000+33900+172286.6+30000+200500+100000-4000+200000+10124+69686.45+999840+142554.07+99900+200000+499500+190000+154571+258000+30000+200000+200000+178623.4</f>
        <v>5238901.4700000007</v>
      </c>
      <c r="AI111" s="11"/>
      <c r="AJ111" s="11"/>
      <c r="AK111" s="11"/>
      <c r="AL111" s="11">
        <f>5238901.47</f>
        <v>5238901.47</v>
      </c>
      <c r="AM111" s="17">
        <v>3.7400000000000003E-2</v>
      </c>
      <c r="AN111" s="17">
        <f t="shared" si="27"/>
        <v>206485.17560000002</v>
      </c>
      <c r="AO111" s="11"/>
      <c r="AP111" s="11"/>
      <c r="AQ111" s="11">
        <v>0</v>
      </c>
      <c r="AR111" s="11"/>
      <c r="AS111" s="11"/>
      <c r="AT111" s="11"/>
    </row>
    <row r="112" spans="1:46" x14ac:dyDescent="0.15">
      <c r="A112" s="54">
        <v>41050</v>
      </c>
      <c r="B112" s="11" t="s">
        <v>1034</v>
      </c>
      <c r="C112" s="11" t="s">
        <v>120</v>
      </c>
      <c r="D112" s="11" t="s">
        <v>1035</v>
      </c>
      <c r="E112" s="11" t="s">
        <v>900</v>
      </c>
      <c r="F112" s="11" t="s">
        <v>1036</v>
      </c>
      <c r="G112" s="11" t="s">
        <v>1031</v>
      </c>
      <c r="H112" s="11" t="s">
        <v>1037</v>
      </c>
      <c r="I112" s="11" t="s">
        <v>1038</v>
      </c>
      <c r="J112" s="11" t="s">
        <v>1037</v>
      </c>
      <c r="K112" s="11" t="s">
        <v>1001</v>
      </c>
      <c r="L112" s="11"/>
      <c r="M112" s="11">
        <v>36296483</v>
      </c>
      <c r="N112" s="11">
        <f>1253588+40000</f>
        <v>1293588</v>
      </c>
      <c r="O112" s="11"/>
      <c r="P112" s="11"/>
      <c r="Q112" s="15"/>
      <c r="R112" s="16"/>
      <c r="S112" s="11"/>
      <c r="T112" s="11"/>
      <c r="U112" s="11" t="s">
        <v>906</v>
      </c>
      <c r="V112" s="17">
        <v>0.03</v>
      </c>
      <c r="W112" s="11">
        <f t="shared" si="34"/>
        <v>1127702.1299999999</v>
      </c>
      <c r="X112" s="11">
        <f>490000+600000+37608</f>
        <v>1127608</v>
      </c>
      <c r="Y112" s="11">
        <f>1127608</f>
        <v>1127608</v>
      </c>
      <c r="Z112" s="11">
        <f t="shared" si="36"/>
        <v>94.129999999888241</v>
      </c>
      <c r="AA112" s="11">
        <f>5444472+2164382+4345789+2851726+6739403+4216458+2939846+3657865+947453</f>
        <v>33307394</v>
      </c>
      <c r="AB112" s="11">
        <f>33307394</f>
        <v>33307394</v>
      </c>
      <c r="AC112" s="11">
        <v>33307394</v>
      </c>
      <c r="AD112" s="11">
        <v>33307394</v>
      </c>
      <c r="AE112" s="18">
        <f t="shared" si="33"/>
        <v>0.88606893027682765</v>
      </c>
      <c r="AF112" s="11">
        <f>2023245.24+1809287.26+1259200+298474.2+686250+73710+2736836.36+1403852.66+1000000+300000+641649+4915194.1+186000+481000+200000+486000+1396224.28+150060+43540.3+986000+835180.6+1260950+490000+2063376.56+1432695.84+496000+976500</f>
        <v>28631226.400000002</v>
      </c>
      <c r="AG112" s="11">
        <f>28631226.4</f>
        <v>28631226.399999999</v>
      </c>
      <c r="AH112" s="11">
        <f>3402860.63+1809287.26+1259200+298474.2+686250+147082.54+2736836.36+1581174.91+1000000+300000+96673.51+1041649+5000+200000+150000+5515194.1+557403.69+494477.32+200000+486000+1696224.28+150060+800000+5000+43540.3+986000+835180.6+1260950+490000+2063376.56-155000+1432695.84+496000+223662.41+1008618.66-800000+800000-5000+135833</f>
        <v>33434705.170000002</v>
      </c>
      <c r="AI112" s="11"/>
      <c r="AJ112" s="11"/>
      <c r="AK112" s="11"/>
      <c r="AL112" s="11">
        <f>33434705.17</f>
        <v>33434705.170000002</v>
      </c>
      <c r="AM112" s="17">
        <v>3.7400000000000003E-2</v>
      </c>
      <c r="AN112" s="17">
        <f t="shared" si="27"/>
        <v>1245696.5356000001</v>
      </c>
      <c r="AO112" s="11"/>
      <c r="AP112" s="11"/>
      <c r="AQ112" s="11">
        <v>0</v>
      </c>
      <c r="AR112" s="11"/>
      <c r="AS112" s="11">
        <v>320</v>
      </c>
      <c r="AT112" s="11" t="s">
        <v>948</v>
      </c>
    </row>
    <row r="113" spans="1:46" x14ac:dyDescent="0.15">
      <c r="A113" s="54">
        <v>41030</v>
      </c>
      <c r="B113" s="11" t="s">
        <v>1039</v>
      </c>
      <c r="C113" s="11" t="s">
        <v>112</v>
      </c>
      <c r="D113" s="11" t="s">
        <v>1040</v>
      </c>
      <c r="E113" s="11" t="s">
        <v>900</v>
      </c>
      <c r="F113" s="11" t="s">
        <v>1041</v>
      </c>
      <c r="G113" s="11" t="s">
        <v>943</v>
      </c>
      <c r="H113" s="11" t="s">
        <v>1042</v>
      </c>
      <c r="I113" s="11" t="s">
        <v>1043</v>
      </c>
      <c r="J113" s="11" t="s">
        <v>1044</v>
      </c>
      <c r="K113" s="11" t="s">
        <v>894</v>
      </c>
      <c r="L113" s="11"/>
      <c r="M113" s="11">
        <v>3831227.57</v>
      </c>
      <c r="N113" s="11"/>
      <c r="O113" s="11"/>
      <c r="P113" s="11"/>
      <c r="Q113" s="15" t="s">
        <v>1045</v>
      </c>
      <c r="R113" s="16">
        <v>41094</v>
      </c>
      <c r="S113" s="11">
        <v>1150</v>
      </c>
      <c r="T113" s="11"/>
      <c r="U113" s="11" t="s">
        <v>906</v>
      </c>
      <c r="V113" s="17">
        <v>3.5999999999999997E-2</v>
      </c>
      <c r="W113" s="11">
        <f t="shared" si="34"/>
        <v>137924.19251999998</v>
      </c>
      <c r="X113" s="11">
        <f>137924</f>
        <v>137924</v>
      </c>
      <c r="Y113" s="11">
        <f>137924</f>
        <v>137924</v>
      </c>
      <c r="Z113" s="11">
        <v>0</v>
      </c>
      <c r="AA113" s="11">
        <f>2272947+1500000+58233</f>
        <v>3831180</v>
      </c>
      <c r="AB113" s="11">
        <f>3831180</f>
        <v>3831180</v>
      </c>
      <c r="AC113" s="11">
        <v>3030000</v>
      </c>
      <c r="AD113" s="11">
        <v>3030000</v>
      </c>
      <c r="AE113" s="18">
        <f t="shared" si="33"/>
        <v>0.79086923045920765</v>
      </c>
      <c r="AF113" s="11">
        <f>241200+90000+305345.5+278208.63+150000+63612.2+100000+334800+375200+187500+600000</f>
        <v>2725866.33</v>
      </c>
      <c r="AG113" s="11">
        <f>2725866.33</f>
        <v>2725866.33</v>
      </c>
      <c r="AH113" s="11">
        <f>128280+241200+90000+365345.5+328208.63+80000+21147.8+150000+63612.2+100000-60000+334800+375200+1980+187500+600000</f>
        <v>3007274.13</v>
      </c>
      <c r="AI113" s="11"/>
      <c r="AJ113" s="11"/>
      <c r="AK113" s="11"/>
      <c r="AL113" s="11">
        <f>3007274.13</f>
        <v>3007274.13</v>
      </c>
      <c r="AM113" s="17">
        <v>3.4000000000000002E-2</v>
      </c>
      <c r="AN113" s="17">
        <f t="shared" si="27"/>
        <v>130260.12000000001</v>
      </c>
      <c r="AO113" s="11">
        <f>77280+51000+1980</f>
        <v>130260</v>
      </c>
      <c r="AP113" s="11">
        <f>130260</f>
        <v>130260</v>
      </c>
      <c r="AQ113" s="11">
        <v>0</v>
      </c>
      <c r="AR113" s="11"/>
      <c r="AS113" s="11">
        <v>31</v>
      </c>
      <c r="AT113" s="11" t="s">
        <v>907</v>
      </c>
    </row>
    <row r="114" spans="1:46" x14ac:dyDescent="0.15">
      <c r="A114" s="54">
        <v>41073</v>
      </c>
      <c r="B114" s="11" t="s">
        <v>1046</v>
      </c>
      <c r="C114" s="11" t="s">
        <v>124</v>
      </c>
      <c r="D114" s="11" t="s">
        <v>1047</v>
      </c>
      <c r="E114" s="11" t="s">
        <v>900</v>
      </c>
      <c r="F114" s="11" t="s">
        <v>1048</v>
      </c>
      <c r="G114" s="11" t="s">
        <v>943</v>
      </c>
      <c r="H114" s="11" t="s">
        <v>969</v>
      </c>
      <c r="I114" s="11" t="s">
        <v>970</v>
      </c>
      <c r="J114" s="11" t="s">
        <v>969</v>
      </c>
      <c r="K114" s="11" t="s">
        <v>894</v>
      </c>
      <c r="L114" s="11"/>
      <c r="M114" s="11">
        <v>1444588.7</v>
      </c>
      <c r="N114" s="11">
        <f>848584.4+921636.07</f>
        <v>1770220.47</v>
      </c>
      <c r="O114" s="11"/>
      <c r="P114" s="11"/>
      <c r="Q114" s="15" t="s">
        <v>1049</v>
      </c>
      <c r="R114" s="16">
        <v>41101</v>
      </c>
      <c r="S114" s="11">
        <f>434+255+277</f>
        <v>966</v>
      </c>
      <c r="T114" s="11"/>
      <c r="U114" s="11" t="s">
        <v>906</v>
      </c>
      <c r="V114" s="17">
        <v>3.5999999999999997E-2</v>
      </c>
      <c r="W114" s="11">
        <f t="shared" si="34"/>
        <v>115733.13011999999</v>
      </c>
      <c r="X114" s="11">
        <f>50000+65733</f>
        <v>115733</v>
      </c>
      <c r="Y114" s="11">
        <f>115733</f>
        <v>115733</v>
      </c>
      <c r="Z114" s="11">
        <v>0</v>
      </c>
      <c r="AA114" s="11">
        <f>92163.61+144458.87+84858.44+212146.1+803702.3+374867.89+216688.31+92163.61+84858.44+144458.87+100000+150000</f>
        <v>2500366.4400000004</v>
      </c>
      <c r="AB114" s="11">
        <f>2500366.44</f>
        <v>2500366.44</v>
      </c>
      <c r="AC114" s="11">
        <v>2500366.44</v>
      </c>
      <c r="AD114" s="11">
        <v>2500366.44</v>
      </c>
      <c r="AE114" s="18">
        <f t="shared" si="33"/>
        <v>0.77776512003665832</v>
      </c>
      <c r="AF114" s="11">
        <f>195915.13+35000+40276.22+35000+166000+30000+288750+23900+300000+200000+269290.75+100000+300000+99600+143900+2700</f>
        <v>2230332.1</v>
      </c>
      <c r="AG114" s="11">
        <f>2230332.1</f>
        <v>2230332.1</v>
      </c>
      <c r="AH114" s="11">
        <f>206846.13+35000+40276.22+35000+173213+57326+288750+36025+300000+12746+200000+276657.75+164790+100000+310931+3400+100000+5100-100000+99600+143790+2700</f>
        <v>2492151.1</v>
      </c>
      <c r="AI114" s="11"/>
      <c r="AJ114" s="11"/>
      <c r="AK114" s="11"/>
      <c r="AL114" s="11">
        <f>2492151.1</f>
        <v>2492151.1</v>
      </c>
      <c r="AM114" s="17">
        <v>3.4000000000000002E-2</v>
      </c>
      <c r="AN114" s="17">
        <f t="shared" si="27"/>
        <v>85012.458960000004</v>
      </c>
      <c r="AO114" s="11">
        <f>3134+4912+2885+7213+27326+12746+7367+3134+2885+4912+3400+5100</f>
        <v>85014</v>
      </c>
      <c r="AP114" s="11">
        <f>85014</f>
        <v>85014</v>
      </c>
      <c r="AQ114" s="11">
        <v>0</v>
      </c>
      <c r="AR114" s="11"/>
      <c r="AS114" s="11">
        <v>31</v>
      </c>
      <c r="AT114" s="11" t="s">
        <v>971</v>
      </c>
    </row>
    <row r="115" spans="1:46" x14ac:dyDescent="0.15">
      <c r="A115" s="54">
        <v>41092</v>
      </c>
      <c r="B115" s="11" t="s">
        <v>1050</v>
      </c>
      <c r="C115" s="11" t="s">
        <v>133</v>
      </c>
      <c r="D115" s="11" t="s">
        <v>1051</v>
      </c>
      <c r="E115" s="11" t="s">
        <v>900</v>
      </c>
      <c r="F115" s="11" t="s">
        <v>1052</v>
      </c>
      <c r="G115" s="11" t="s">
        <v>943</v>
      </c>
      <c r="H115" s="11" t="s">
        <v>1053</v>
      </c>
      <c r="I115" s="19" t="s">
        <v>1054</v>
      </c>
      <c r="J115" s="19" t="s">
        <v>1055</v>
      </c>
      <c r="K115" s="19" t="s">
        <v>894</v>
      </c>
      <c r="L115" s="11"/>
      <c r="M115" s="11">
        <v>1508400</v>
      </c>
      <c r="N115" s="11"/>
      <c r="O115" s="11"/>
      <c r="P115" s="11"/>
      <c r="Q115" s="15" t="s">
        <v>1056</v>
      </c>
      <c r="R115" s="16">
        <v>41092</v>
      </c>
      <c r="S115" s="11">
        <v>453</v>
      </c>
      <c r="T115" s="11"/>
      <c r="U115" s="11" t="s">
        <v>906</v>
      </c>
      <c r="V115" s="17">
        <v>3.5999999999999997E-2</v>
      </c>
      <c r="W115" s="11">
        <f t="shared" si="34"/>
        <v>54302.399999999994</v>
      </c>
      <c r="X115" s="11">
        <f>54302</f>
        <v>54302</v>
      </c>
      <c r="Y115" s="11">
        <f>54302</f>
        <v>54302</v>
      </c>
      <c r="Z115" s="11">
        <v>0</v>
      </c>
      <c r="AA115" s="11">
        <f>1050000+140000</f>
        <v>1190000</v>
      </c>
      <c r="AB115" s="11">
        <f>1190000</f>
        <v>1190000</v>
      </c>
      <c r="AC115" s="11">
        <v>1199905</v>
      </c>
      <c r="AD115" s="11">
        <v>1199905</v>
      </c>
      <c r="AE115" s="18">
        <f t="shared" si="33"/>
        <v>0.79548196764783874</v>
      </c>
      <c r="AF115" s="11">
        <f>50000+156000+50000+60000+281156.93+52145+50000+100000+76530+50000+87360+139040</f>
        <v>1152231.93</v>
      </c>
      <c r="AG115" s="11">
        <f>1152231.93</f>
        <v>1152231.93</v>
      </c>
      <c r="AH115" s="11">
        <f>85700+156000+50000+60000+281156.93+52145+50000+100000+76530+50000+87360+4760+139040</f>
        <v>1192691.93</v>
      </c>
      <c r="AI115" s="11"/>
      <c r="AJ115" s="11"/>
      <c r="AK115" s="11"/>
      <c r="AL115" s="11">
        <f>1192691.93</f>
        <v>1192691.93</v>
      </c>
      <c r="AM115" s="17">
        <v>3.4000000000000002E-2</v>
      </c>
      <c r="AN115" s="17">
        <f t="shared" si="27"/>
        <v>40460</v>
      </c>
      <c r="AO115" s="11">
        <f>35700+4760</f>
        <v>40460</v>
      </c>
      <c r="AP115" s="11">
        <f>40460</f>
        <v>40460</v>
      </c>
      <c r="AQ115" s="11">
        <f t="shared" si="35"/>
        <v>0</v>
      </c>
      <c r="AR115" s="11"/>
      <c r="AS115" s="11">
        <v>7</v>
      </c>
      <c r="AT115" s="11" t="s">
        <v>948</v>
      </c>
    </row>
    <row r="116" spans="1:46" x14ac:dyDescent="0.15">
      <c r="A116" s="54">
        <v>41091</v>
      </c>
      <c r="B116" s="11" t="s">
        <v>1057</v>
      </c>
      <c r="C116" s="11" t="s">
        <v>129</v>
      </c>
      <c r="D116" s="11" t="s">
        <v>1058</v>
      </c>
      <c r="E116" s="11" t="s">
        <v>900</v>
      </c>
      <c r="F116" s="11" t="s">
        <v>1059</v>
      </c>
      <c r="G116" s="11" t="s">
        <v>943</v>
      </c>
      <c r="H116" s="11" t="s">
        <v>969</v>
      </c>
      <c r="I116" s="11" t="s">
        <v>970</v>
      </c>
      <c r="J116" s="11" t="s">
        <v>969</v>
      </c>
      <c r="K116" s="11" t="s">
        <v>894</v>
      </c>
      <c r="L116" s="11"/>
      <c r="M116" s="11">
        <v>742782.79</v>
      </c>
      <c r="N116" s="11">
        <f>144141.78+5000</f>
        <v>149141.78</v>
      </c>
      <c r="O116" s="11"/>
      <c r="P116" s="11"/>
      <c r="Q116" s="15" t="s">
        <v>1060</v>
      </c>
      <c r="R116" s="16">
        <v>41109</v>
      </c>
      <c r="S116" s="11">
        <v>223</v>
      </c>
      <c r="T116" s="11"/>
      <c r="U116" s="11" t="s">
        <v>906</v>
      </c>
      <c r="V116" s="17">
        <v>3.5999999999999997E-2</v>
      </c>
      <c r="W116" s="11">
        <f t="shared" si="34"/>
        <v>32109.284520000001</v>
      </c>
      <c r="X116" s="11">
        <f>26740+180</f>
        <v>26920</v>
      </c>
      <c r="Y116" s="11">
        <f>26920</f>
        <v>26920</v>
      </c>
      <c r="Z116" s="11">
        <f t="shared" si="36"/>
        <v>5189.2845200000011</v>
      </c>
      <c r="AA116" s="11">
        <f>222834.84+148556.56+259973.98+255559.19+5000</f>
        <v>891924.57000000007</v>
      </c>
      <c r="AB116" s="11">
        <f>891924.57</f>
        <v>891924.57</v>
      </c>
      <c r="AC116" s="11">
        <v>891924.57</v>
      </c>
      <c r="AD116" s="11">
        <v>891924.57</v>
      </c>
      <c r="AE116" s="18">
        <f t="shared" si="33"/>
        <v>0.99999999999999989</v>
      </c>
      <c r="AF116" s="11">
        <f>50829.4+50000+57415+207721+12932.58+48095.59</f>
        <v>426993.57000000007</v>
      </c>
      <c r="AG116" s="11">
        <f>426993.57</f>
        <v>426993.57</v>
      </c>
      <c r="AH116" s="11">
        <f>21200.54+13890+66995.56+50000+10000+57415+566410+39735.3+12932.58+250+48095.59</f>
        <v>886924.57</v>
      </c>
      <c r="AI116" s="11"/>
      <c r="AJ116" s="11"/>
      <c r="AK116" s="11"/>
      <c r="AL116" s="11">
        <f>886924.57</f>
        <v>886924.57</v>
      </c>
      <c r="AM116" s="17">
        <v>3.4000000000000002E-2</v>
      </c>
      <c r="AN116" s="17">
        <f t="shared" si="27"/>
        <v>30325.435379999999</v>
      </c>
      <c r="AO116" s="11">
        <f>7576+5051+8839+8689+250</f>
        <v>30405</v>
      </c>
      <c r="AP116" s="11">
        <f>30405</f>
        <v>30405</v>
      </c>
      <c r="AQ116" s="11">
        <f t="shared" si="35"/>
        <v>-79.564620000001014</v>
      </c>
      <c r="AR116" s="11"/>
      <c r="AS116" s="11">
        <v>8</v>
      </c>
      <c r="AT116" s="11" t="s">
        <v>971</v>
      </c>
    </row>
    <row r="117" spans="1:46" x14ac:dyDescent="0.15">
      <c r="A117" s="54">
        <v>41117</v>
      </c>
      <c r="B117" s="11" t="s">
        <v>1061</v>
      </c>
      <c r="C117" s="11" t="s">
        <v>141</v>
      </c>
      <c r="D117" s="11" t="s">
        <v>1062</v>
      </c>
      <c r="E117" s="11" t="s">
        <v>900</v>
      </c>
      <c r="F117" s="11" t="s">
        <v>1012</v>
      </c>
      <c r="G117" s="11" t="s">
        <v>943</v>
      </c>
      <c r="H117" s="11" t="s">
        <v>1013</v>
      </c>
      <c r="I117" s="11" t="s">
        <v>1014</v>
      </c>
      <c r="J117" s="11" t="s">
        <v>1013</v>
      </c>
      <c r="K117" s="11" t="s">
        <v>894</v>
      </c>
      <c r="L117" s="11"/>
      <c r="M117" s="11">
        <v>328000</v>
      </c>
      <c r="N117" s="11">
        <v>34031</v>
      </c>
      <c r="O117" s="11"/>
      <c r="P117" s="11"/>
      <c r="Q117" s="15" t="s">
        <v>1063</v>
      </c>
      <c r="R117" s="16">
        <v>41117</v>
      </c>
      <c r="S117" s="11">
        <v>99</v>
      </c>
      <c r="T117" s="11"/>
      <c r="U117" s="11" t="s">
        <v>906</v>
      </c>
      <c r="V117" s="17">
        <v>3.5999999999999997E-2</v>
      </c>
      <c r="W117" s="11">
        <f t="shared" si="34"/>
        <v>13033.115999999998</v>
      </c>
      <c r="X117" s="11">
        <f>11808+1225</f>
        <v>13033</v>
      </c>
      <c r="Y117" s="11">
        <f>13033</f>
        <v>13033</v>
      </c>
      <c r="Z117" s="11">
        <v>0</v>
      </c>
      <c r="AA117" s="11">
        <f>240168+38632+65130</f>
        <v>343930</v>
      </c>
      <c r="AB117" s="11">
        <f>343930</f>
        <v>343930</v>
      </c>
      <c r="AC117" s="11">
        <v>343930</v>
      </c>
      <c r="AD117" s="11">
        <v>343930</v>
      </c>
      <c r="AE117" s="18">
        <f t="shared" si="33"/>
        <v>0.95000151920691878</v>
      </c>
      <c r="AF117" s="11">
        <f>55635.82+12300+31500+15000</f>
        <v>114435.82</v>
      </c>
      <c r="AG117" s="11">
        <f>114435.82</f>
        <v>114435.82</v>
      </c>
      <c r="AH117" s="11">
        <f>158166+55635.82+64998.18+14514+31500+15000</f>
        <v>339814</v>
      </c>
      <c r="AI117" s="11"/>
      <c r="AJ117" s="11"/>
      <c r="AK117" s="11"/>
      <c r="AL117" s="11">
        <v>339814</v>
      </c>
      <c r="AM117" s="17">
        <v>3.4000000000000002E-2</v>
      </c>
      <c r="AN117" s="17">
        <f t="shared" si="27"/>
        <v>11693.62</v>
      </c>
      <c r="AO117" s="11">
        <f>8166+1313+2214</f>
        <v>11693</v>
      </c>
      <c r="AP117" s="11">
        <f>11693</f>
        <v>11693</v>
      </c>
      <c r="AQ117" s="11">
        <v>0</v>
      </c>
      <c r="AR117" s="11"/>
      <c r="AS117" s="11">
        <v>4</v>
      </c>
      <c r="AT117" s="11" t="s">
        <v>948</v>
      </c>
    </row>
    <row r="118" spans="1:46" x14ac:dyDescent="0.15">
      <c r="A118" s="54">
        <v>41091</v>
      </c>
      <c r="B118" s="11" t="s">
        <v>1064</v>
      </c>
      <c r="C118" s="11" t="s">
        <v>126</v>
      </c>
      <c r="D118" s="11" t="s">
        <v>923</v>
      </c>
      <c r="E118" s="11" t="s">
        <v>900</v>
      </c>
      <c r="F118" s="11" t="s">
        <v>1065</v>
      </c>
      <c r="G118" s="11" t="s">
        <v>943</v>
      </c>
      <c r="H118" s="11" t="s">
        <v>1066</v>
      </c>
      <c r="I118" s="25" t="s">
        <v>1067</v>
      </c>
      <c r="J118" s="25" t="s">
        <v>1068</v>
      </c>
      <c r="K118" s="25" t="s">
        <v>894</v>
      </c>
      <c r="L118" s="11"/>
      <c r="M118" s="11">
        <v>4400000</v>
      </c>
      <c r="N118" s="11"/>
      <c r="O118" s="11"/>
      <c r="P118" s="11"/>
      <c r="Q118" s="15" t="s">
        <v>1069</v>
      </c>
      <c r="R118" s="16">
        <v>41137</v>
      </c>
      <c r="S118" s="11">
        <v>1320</v>
      </c>
      <c r="T118" s="11"/>
      <c r="U118" s="11" t="s">
        <v>906</v>
      </c>
      <c r="V118" s="17">
        <v>0.03</v>
      </c>
      <c r="W118" s="11">
        <f t="shared" si="34"/>
        <v>132000</v>
      </c>
      <c r="X118" s="11">
        <f>76787+55213</f>
        <v>132000</v>
      </c>
      <c r="Y118" s="11">
        <f>132000</f>
        <v>132000</v>
      </c>
      <c r="Z118" s="11">
        <f t="shared" si="36"/>
        <v>0</v>
      </c>
      <c r="AA118" s="11">
        <f>1100000+880000+880000+440000+800000</f>
        <v>4100000</v>
      </c>
      <c r="AB118" s="11">
        <f>4100000</f>
        <v>4100000</v>
      </c>
      <c r="AC118" s="11">
        <v>3300000</v>
      </c>
      <c r="AD118" s="11">
        <v>3300000</v>
      </c>
      <c r="AE118" s="18">
        <f t="shared" si="33"/>
        <v>0.75</v>
      </c>
      <c r="AF118" s="11">
        <f>1048292.6+628563.8+223019.31+45126+435642+299980+199680+299800</f>
        <v>3180103.71</v>
      </c>
      <c r="AG118" s="11">
        <f>3180103.71</f>
        <v>3180103.71</v>
      </c>
      <c r="AH118" s="11">
        <f>37400+1048292.6+628563.8+252939.31+75046+435642+314940+199680+299800</f>
        <v>3292303.71</v>
      </c>
      <c r="AI118" s="11"/>
      <c r="AJ118" s="11"/>
      <c r="AK118" s="11"/>
      <c r="AL118" s="11">
        <f>3292303.71</f>
        <v>3292303.71</v>
      </c>
      <c r="AM118" s="17">
        <v>3.4000000000000002E-2</v>
      </c>
      <c r="AN118" s="17">
        <f t="shared" si="27"/>
        <v>139400</v>
      </c>
      <c r="AO118" s="11">
        <f>37400+29920+29920+14960</f>
        <v>112200</v>
      </c>
      <c r="AP118" s="11">
        <f>112200</f>
        <v>112200</v>
      </c>
      <c r="AQ118" s="11">
        <f t="shared" si="35"/>
        <v>27200</v>
      </c>
      <c r="AR118" s="11"/>
      <c r="AS118" s="11"/>
      <c r="AT118" s="11"/>
    </row>
    <row r="119" spans="1:46" x14ac:dyDescent="0.15">
      <c r="A119" s="54">
        <v>41091</v>
      </c>
      <c r="B119" s="11" t="s">
        <v>1070</v>
      </c>
      <c r="C119" s="11" t="s">
        <v>131</v>
      </c>
      <c r="D119" s="11" t="s">
        <v>1071</v>
      </c>
      <c r="E119" s="11" t="s">
        <v>900</v>
      </c>
      <c r="F119" s="11" t="s">
        <v>1072</v>
      </c>
      <c r="G119" s="11" t="s">
        <v>1031</v>
      </c>
      <c r="H119" s="11" t="s">
        <v>1073</v>
      </c>
      <c r="I119" s="11" t="s">
        <v>1074</v>
      </c>
      <c r="J119" s="11" t="s">
        <v>1075</v>
      </c>
      <c r="K119" s="11" t="s">
        <v>1001</v>
      </c>
      <c r="L119" s="11"/>
      <c r="M119" s="11">
        <v>5538662</v>
      </c>
      <c r="N119" s="11">
        <f>2667147+725824</f>
        <v>3392971</v>
      </c>
      <c r="O119" s="11"/>
      <c r="P119" s="11"/>
      <c r="Q119" s="15"/>
      <c r="R119" s="16"/>
      <c r="S119" s="11"/>
      <c r="T119" s="11"/>
      <c r="U119" s="11" t="s">
        <v>906</v>
      </c>
      <c r="V119" s="17">
        <v>0.03</v>
      </c>
      <c r="W119" s="11">
        <f t="shared" si="34"/>
        <v>267948.99</v>
      </c>
      <c r="X119" s="11">
        <f>166160+80014+21775</f>
        <v>267949</v>
      </c>
      <c r="Y119" s="11">
        <f>267949</f>
        <v>267949</v>
      </c>
      <c r="Z119" s="11">
        <v>0</v>
      </c>
      <c r="AA119" s="11">
        <f>200000+300000+1000000+1000000+200000+800000+1000000+470000+1150000+1260000+190000</f>
        <v>7570000</v>
      </c>
      <c r="AB119" s="11">
        <f>7570000</f>
        <v>7570000</v>
      </c>
      <c r="AC119" s="11">
        <v>7570000</v>
      </c>
      <c r="AD119" s="11">
        <v>7570000</v>
      </c>
      <c r="AE119" s="18">
        <f t="shared" si="33"/>
        <v>0.84754937870823843</v>
      </c>
      <c r="AF119" s="11">
        <f>317048.37+206600+428739.2+220922+300000+796906.04+81600+82951.62+84000+74081+157532.8+200000+400000+300000+61020+300000+88553.68+14400+174500+50000+387086.71+1600000+30000+1000000</f>
        <v>7355941.4200000009</v>
      </c>
      <c r="AG119" s="11">
        <f>7355941.42</f>
        <v>7355941.4199999999</v>
      </c>
      <c r="AH119" s="11">
        <f>200000+223550+33900+428739.2+220922+300000+33900+796906.04+81600+100000+107979.99+84000+74081+245890.27+500000+400000+300000+61020+300000-300000+88553.68+14400+174500+50000+403019.71+1600000+30000+1000000</f>
        <v>7552961.8899999997</v>
      </c>
      <c r="AI119" s="11"/>
      <c r="AJ119" s="11"/>
      <c r="AK119" s="11"/>
      <c r="AL119" s="11">
        <f>7552961.89</f>
        <v>7552961.8899999997</v>
      </c>
      <c r="AM119" s="17">
        <v>3.7400000000000003E-2</v>
      </c>
      <c r="AN119" s="17">
        <f t="shared" si="27"/>
        <v>283118</v>
      </c>
      <c r="AO119" s="11">
        <f>283118</f>
        <v>283118</v>
      </c>
      <c r="AP119" s="11">
        <f>283118</f>
        <v>283118</v>
      </c>
      <c r="AQ119" s="11">
        <f t="shared" si="35"/>
        <v>0</v>
      </c>
      <c r="AR119" s="11"/>
      <c r="AS119" s="11"/>
      <c r="AT119" s="11"/>
    </row>
    <row r="120" spans="1:46" x14ac:dyDescent="0.15">
      <c r="A120" s="54">
        <v>41108</v>
      </c>
      <c r="B120" s="11" t="s">
        <v>1076</v>
      </c>
      <c r="C120" s="11" t="s">
        <v>135</v>
      </c>
      <c r="D120" s="11" t="s">
        <v>1077</v>
      </c>
      <c r="E120" s="11" t="s">
        <v>988</v>
      </c>
      <c r="F120" s="11" t="s">
        <v>1078</v>
      </c>
      <c r="G120" s="11" t="s">
        <v>943</v>
      </c>
      <c r="H120" s="11" t="s">
        <v>1079</v>
      </c>
      <c r="I120" s="11" t="s">
        <v>1080</v>
      </c>
      <c r="J120" s="11" t="s">
        <v>1081</v>
      </c>
      <c r="K120" s="11" t="s">
        <v>894</v>
      </c>
      <c r="L120" s="11"/>
      <c r="M120" s="11">
        <v>8443771</v>
      </c>
      <c r="N120" s="11">
        <f>1126543.36</f>
        <v>1126543.3600000001</v>
      </c>
      <c r="O120" s="11"/>
      <c r="P120" s="11"/>
      <c r="Q120" s="15" t="s">
        <v>1082</v>
      </c>
      <c r="R120" s="16">
        <v>41127</v>
      </c>
      <c r="S120" s="11">
        <v>2534</v>
      </c>
      <c r="T120" s="11"/>
      <c r="U120" s="11" t="s">
        <v>938</v>
      </c>
      <c r="V120" s="17">
        <v>0.03</v>
      </c>
      <c r="W120" s="11">
        <f t="shared" si="34"/>
        <v>287109.43079999997</v>
      </c>
      <c r="X120" s="11">
        <f>253313+33796</f>
        <v>287109</v>
      </c>
      <c r="Y120" s="11">
        <f>287109</f>
        <v>287109</v>
      </c>
      <c r="Z120" s="11">
        <v>0</v>
      </c>
      <c r="AA120" s="11">
        <f>4000000+1000000+800000+899000+1400000+500000</f>
        <v>8599000</v>
      </c>
      <c r="AB120" s="11">
        <f>8599000</f>
        <v>8599000</v>
      </c>
      <c r="AC120" s="11">
        <v>8599000</v>
      </c>
      <c r="AD120" s="11">
        <v>8599000</v>
      </c>
      <c r="AE120" s="18">
        <f t="shared" si="33"/>
        <v>0.89850758047617574</v>
      </c>
      <c r="AF120" s="11">
        <f>10132.53+2000000+7943.73+294964+150000+181500+300000+163490+350000+700000+100000+1100000+600000</f>
        <v>5958030.2599999998</v>
      </c>
      <c r="AG120" s="11">
        <f>5958030.26</f>
        <v>5958030.2599999998</v>
      </c>
      <c r="AH120" s="11">
        <f>10132.53+2864800+294964+200000+150000+150000+50000+250000+918578+19695+27200+300000+163490+350000+30566+700000+100000-50000+47600+1100000+300000+17000+600000</f>
        <v>8594025.5299999993</v>
      </c>
      <c r="AI120" s="11"/>
      <c r="AJ120" s="11"/>
      <c r="AK120" s="11"/>
      <c r="AL120" s="11">
        <f>8594025.53</f>
        <v>8594025.5299999993</v>
      </c>
      <c r="AM120" s="17">
        <v>3.4000000000000002E-2</v>
      </c>
      <c r="AN120" s="17">
        <f t="shared" si="27"/>
        <v>292366</v>
      </c>
      <c r="AO120" s="11">
        <f>136000+34000+27200+30566+47600+17000</f>
        <v>292366</v>
      </c>
      <c r="AP120" s="11">
        <f>292366</f>
        <v>292366</v>
      </c>
      <c r="AQ120" s="11">
        <f t="shared" si="35"/>
        <v>0</v>
      </c>
      <c r="AR120" s="11"/>
      <c r="AS120" s="11">
        <v>72</v>
      </c>
      <c r="AT120" s="11" t="s">
        <v>907</v>
      </c>
    </row>
    <row r="121" spans="1:46" x14ac:dyDescent="0.15">
      <c r="A121" s="54">
        <v>41113</v>
      </c>
      <c r="B121" s="11" t="s">
        <v>1083</v>
      </c>
      <c r="C121" s="11" t="s">
        <v>137</v>
      </c>
      <c r="D121" s="11" t="s">
        <v>1084</v>
      </c>
      <c r="E121" s="11" t="s">
        <v>900</v>
      </c>
      <c r="F121" s="11" t="s">
        <v>1085</v>
      </c>
      <c r="G121" s="11" t="s">
        <v>983</v>
      </c>
      <c r="H121" s="11" t="s">
        <v>1086</v>
      </c>
      <c r="I121" s="11" t="s">
        <v>1087</v>
      </c>
      <c r="J121" s="11" t="s">
        <v>1088</v>
      </c>
      <c r="K121" s="11" t="s">
        <v>526</v>
      </c>
      <c r="L121" s="11"/>
      <c r="M121" s="11">
        <v>4520000</v>
      </c>
      <c r="N121" s="11"/>
      <c r="O121" s="11"/>
      <c r="P121" s="11"/>
      <c r="Q121" s="15" t="s">
        <v>1089</v>
      </c>
      <c r="R121" s="16">
        <v>41114</v>
      </c>
      <c r="S121" s="11">
        <v>1356</v>
      </c>
      <c r="T121" s="11"/>
      <c r="U121" s="11" t="s">
        <v>938</v>
      </c>
      <c r="V121" s="17">
        <v>3.5999999999999997E-2</v>
      </c>
      <c r="W121" s="11">
        <f t="shared" si="34"/>
        <v>162720</v>
      </c>
      <c r="X121" s="11">
        <f>100000+62720</f>
        <v>162720</v>
      </c>
      <c r="Y121" s="11">
        <f>162720</f>
        <v>162720</v>
      </c>
      <c r="Z121" s="11">
        <f t="shared" si="36"/>
        <v>0</v>
      </c>
      <c r="AA121" s="11">
        <f>1356000+1356000+904000+779540.75</f>
        <v>4395540.75</v>
      </c>
      <c r="AB121" s="11">
        <f>4395540.75</f>
        <v>4395540.75</v>
      </c>
      <c r="AC121" s="11">
        <v>3616000</v>
      </c>
      <c r="AD121" s="11">
        <v>3616000</v>
      </c>
      <c r="AE121" s="18">
        <f t="shared" si="33"/>
        <v>0.8</v>
      </c>
      <c r="AF121" s="11">
        <f>882756+320000+100000+1357716+824000+49264</f>
        <v>3533736</v>
      </c>
      <c r="AG121" s="11">
        <f>3533736</f>
        <v>3533736</v>
      </c>
      <c r="AH121" s="11">
        <f>934284+320000+100000+1357716+854736+49264</f>
        <v>3616000</v>
      </c>
      <c r="AI121" s="11"/>
      <c r="AJ121" s="11"/>
      <c r="AK121" s="11"/>
      <c r="AL121" s="11">
        <f>3616000</f>
        <v>3616000</v>
      </c>
      <c r="AM121" s="17">
        <v>3.4000000000000002E-2</v>
      </c>
      <c r="AN121" s="17">
        <f t="shared" si="27"/>
        <v>149448.3855</v>
      </c>
      <c r="AO121" s="11">
        <f>46104+46104+30736+26504</f>
        <v>149448</v>
      </c>
      <c r="AP121" s="11">
        <f>149448</f>
        <v>149448</v>
      </c>
      <c r="AQ121" s="11">
        <v>0</v>
      </c>
      <c r="AR121" s="11"/>
      <c r="AS121" s="11"/>
      <c r="AT121" s="11"/>
    </row>
    <row r="122" spans="1:46" x14ac:dyDescent="0.15">
      <c r="A122" s="54">
        <v>41113</v>
      </c>
      <c r="B122" s="11" t="s">
        <v>1090</v>
      </c>
      <c r="C122" s="11" t="s">
        <v>139</v>
      </c>
      <c r="D122" s="11" t="s">
        <v>1091</v>
      </c>
      <c r="E122" s="11" t="s">
        <v>900</v>
      </c>
      <c r="F122" s="11" t="s">
        <v>1092</v>
      </c>
      <c r="G122" s="11" t="s">
        <v>943</v>
      </c>
      <c r="H122" s="11" t="s">
        <v>1013</v>
      </c>
      <c r="I122" s="11" t="s">
        <v>1014</v>
      </c>
      <c r="J122" s="11" t="s">
        <v>1013</v>
      </c>
      <c r="K122" s="11" t="s">
        <v>894</v>
      </c>
      <c r="L122" s="11"/>
      <c r="M122" s="11">
        <v>8171765</v>
      </c>
      <c r="N122" s="11"/>
      <c r="O122" s="11"/>
      <c r="P122" s="11"/>
      <c r="Q122" s="15" t="s">
        <v>1093</v>
      </c>
      <c r="R122" s="16">
        <v>41135</v>
      </c>
      <c r="S122" s="11">
        <v>2452</v>
      </c>
      <c r="T122" s="11"/>
      <c r="U122" s="11" t="s">
        <v>906</v>
      </c>
      <c r="V122" s="17">
        <v>0.03</v>
      </c>
      <c r="W122" s="11">
        <f t="shared" si="34"/>
        <v>245152.94999999998</v>
      </c>
      <c r="X122" s="11">
        <f>245153</f>
        <v>245153</v>
      </c>
      <c r="Y122" s="11">
        <f>245153</f>
        <v>245153</v>
      </c>
      <c r="Z122" s="11">
        <v>0</v>
      </c>
      <c r="AA122" s="11">
        <f>3000000+2000000+1000000</f>
        <v>6000000</v>
      </c>
      <c r="AB122" s="11">
        <f>6000000</f>
        <v>6000000</v>
      </c>
      <c r="AC122" s="11">
        <v>6000000</v>
      </c>
      <c r="AD122" s="11">
        <v>6000000</v>
      </c>
      <c r="AE122" s="18">
        <f t="shared" si="33"/>
        <v>0.73423550481444344</v>
      </c>
      <c r="AF122" s="11">
        <f>800000+549940+599995+19064.7+499995+100000+16327+7778.75+73078+63360+62496+99999+999990+119033+99000+10112+299987+50000+499970+593488.9+50000</f>
        <v>5613614.3500000006</v>
      </c>
      <c r="AG122" s="11">
        <f>5613614.35</f>
        <v>5613614.3499999996</v>
      </c>
      <c r="AH122" s="11">
        <f>902000+558112+599995+63219.7+499995+100000+100000-100000+7778.75+73078+63360+62496+60000+1191342.25+159032+99000+41000+10112+299987+84000+499970+593488.9-41000+50000+2394+12400</f>
        <v>5991760.6000000006</v>
      </c>
      <c r="AI122" s="11"/>
      <c r="AJ122" s="11"/>
      <c r="AK122" s="11"/>
      <c r="AL122" s="11">
        <f>5991760.6</f>
        <v>5991760.5999999996</v>
      </c>
      <c r="AM122" s="17">
        <v>3.4000000000000002E-2</v>
      </c>
      <c r="AN122" s="17">
        <f t="shared" si="27"/>
        <v>204000.00000000003</v>
      </c>
      <c r="AO122" s="11">
        <f>102000+68000+34000</f>
        <v>204000</v>
      </c>
      <c r="AP122" s="11">
        <f>204000</f>
        <v>204000</v>
      </c>
      <c r="AQ122" s="11">
        <f t="shared" si="35"/>
        <v>0</v>
      </c>
      <c r="AR122" s="11"/>
      <c r="AS122" s="11">
        <v>100</v>
      </c>
      <c r="AT122" s="11" t="s">
        <v>948</v>
      </c>
    </row>
    <row r="123" spans="1:46" x14ac:dyDescent="0.15">
      <c r="A123" s="54">
        <v>41128</v>
      </c>
      <c r="B123" s="11" t="s">
        <v>1094</v>
      </c>
      <c r="C123" s="11" t="s">
        <v>145</v>
      </c>
      <c r="D123" s="11" t="s">
        <v>1095</v>
      </c>
      <c r="E123" s="11" t="s">
        <v>900</v>
      </c>
      <c r="F123" s="11" t="s">
        <v>1096</v>
      </c>
      <c r="G123" s="11" t="s">
        <v>943</v>
      </c>
      <c r="H123" s="11" t="s">
        <v>1097</v>
      </c>
      <c r="I123" s="11" t="s">
        <v>1098</v>
      </c>
      <c r="J123" s="11" t="s">
        <v>1097</v>
      </c>
      <c r="K123" s="11" t="s">
        <v>894</v>
      </c>
      <c r="L123" s="11"/>
      <c r="M123" s="11">
        <v>5170956.9400000004</v>
      </c>
      <c r="N123" s="11"/>
      <c r="O123" s="11"/>
      <c r="P123" s="11"/>
      <c r="Q123" s="15" t="s">
        <v>1099</v>
      </c>
      <c r="R123" s="16">
        <v>41150</v>
      </c>
      <c r="S123" s="11">
        <v>1552</v>
      </c>
      <c r="T123" s="11"/>
      <c r="U123" s="11" t="s">
        <v>906</v>
      </c>
      <c r="V123" s="17">
        <v>0.03</v>
      </c>
      <c r="W123" s="11">
        <f t="shared" si="34"/>
        <v>155128.70819999999</v>
      </c>
      <c r="X123" s="11">
        <f>80000+75129</f>
        <v>155129</v>
      </c>
      <c r="Y123" s="11">
        <f>155129</f>
        <v>155129</v>
      </c>
      <c r="Z123" s="11">
        <v>0</v>
      </c>
      <c r="AA123" s="11">
        <f>500000+500000+1000000+2136765.55+775643.54</f>
        <v>4912409.09</v>
      </c>
      <c r="AB123" s="11">
        <f>4912409.09</f>
        <v>4912409.09</v>
      </c>
      <c r="AC123" s="11">
        <v>4912409.09</v>
      </c>
      <c r="AD123" s="11">
        <v>4912409.09</v>
      </c>
      <c r="AE123" s="18">
        <f t="shared" si="33"/>
        <v>0.94999999941983648</v>
      </c>
      <c r="AF123" s="11">
        <f>88900+390795+432480+746378.45+170000+41200+2038329+18200+750000</f>
        <v>4676282.45</v>
      </c>
      <c r="AG123" s="11">
        <f>4676282.45</f>
        <v>4676282.45</v>
      </c>
      <c r="AH123" s="11">
        <f>105900+390795+449480+50000+780378.45+178800+41200+2110979+18200+776372</f>
        <v>4902104.45</v>
      </c>
      <c r="AI123" s="11"/>
      <c r="AJ123" s="11"/>
      <c r="AK123" s="11"/>
      <c r="AL123" s="11">
        <f>4902104.45</f>
        <v>4902104.45</v>
      </c>
      <c r="AM123" s="17">
        <v>3.4000000000000002E-2</v>
      </c>
      <c r="AN123" s="17">
        <f t="shared" si="27"/>
        <v>167021.90906000001</v>
      </c>
      <c r="AO123" s="11">
        <f>17000+17000+34000+72650+26372</f>
        <v>167022</v>
      </c>
      <c r="AP123" s="11">
        <f>167022</f>
        <v>167022</v>
      </c>
      <c r="AQ123" s="11">
        <v>0</v>
      </c>
      <c r="AR123" s="11"/>
      <c r="AS123" s="11">
        <v>16</v>
      </c>
      <c r="AT123" s="11" t="s">
        <v>907</v>
      </c>
    </row>
    <row r="124" spans="1:46" x14ac:dyDescent="0.15">
      <c r="A124" s="54">
        <v>41130</v>
      </c>
      <c r="B124" s="11" t="s">
        <v>1100</v>
      </c>
      <c r="C124" s="11" t="s">
        <v>147</v>
      </c>
      <c r="D124" s="11" t="s">
        <v>1101</v>
      </c>
      <c r="E124" s="11" t="s">
        <v>900</v>
      </c>
      <c r="F124" s="11" t="s">
        <v>1102</v>
      </c>
      <c r="G124" s="11" t="s">
        <v>943</v>
      </c>
      <c r="H124" s="11" t="s">
        <v>1103</v>
      </c>
      <c r="I124" s="11" t="s">
        <v>1104</v>
      </c>
      <c r="J124" s="11" t="s">
        <v>1105</v>
      </c>
      <c r="K124" s="11" t="s">
        <v>894</v>
      </c>
      <c r="L124" s="11"/>
      <c r="M124" s="11">
        <v>7737463.3499999996</v>
      </c>
      <c r="N124" s="11"/>
      <c r="O124" s="11"/>
      <c r="P124" s="11"/>
      <c r="Q124" s="15" t="s">
        <v>1106</v>
      </c>
      <c r="R124" s="16">
        <v>41171</v>
      </c>
      <c r="S124" s="11">
        <v>2321</v>
      </c>
      <c r="T124" s="11"/>
      <c r="U124" s="11" t="s">
        <v>906</v>
      </c>
      <c r="V124" s="17">
        <v>0.03</v>
      </c>
      <c r="W124" s="11">
        <f t="shared" si="34"/>
        <v>232123.90049999999</v>
      </c>
      <c r="X124" s="11">
        <f>70000+162124</f>
        <v>232124</v>
      </c>
      <c r="Y124" s="11">
        <f>232124</f>
        <v>232124</v>
      </c>
      <c r="Z124" s="11">
        <v>0</v>
      </c>
      <c r="AA124" s="11">
        <f>1547492.67+2321239.01+2321239.01+386873.17+773746.34+386873.16</f>
        <v>7737463.3599999994</v>
      </c>
      <c r="AB124" s="11">
        <f>7737463.36</f>
        <v>7737463.3600000003</v>
      </c>
      <c r="AC124" s="11">
        <v>7737463.3599999994</v>
      </c>
      <c r="AD124" s="11">
        <v>7737463.3600000003</v>
      </c>
      <c r="AE124" s="18">
        <f t="shared" si="33"/>
        <v>1.0000000012924133</v>
      </c>
      <c r="AF124" s="11">
        <f>323212.39+756000+250001.5+70000+1859895.5+200000+2198228.61+100000+181610+199980+300000+94863+142753.11+231000+1183</f>
        <v>6908727.1100000003</v>
      </c>
      <c r="AG124" s="11">
        <f>6908727.11</f>
        <v>6908727.1100000003</v>
      </c>
      <c r="AH124" s="11">
        <f>441254.49+756000+250001.5+148922+1859895.5+278922+2198228.61+200000+13154+400000+26307+181610+199980+300000+94863+155907.11+231000</f>
        <v>7736045.21</v>
      </c>
      <c r="AI124" s="11">
        <v>38</v>
      </c>
      <c r="AJ124" s="11">
        <v>402</v>
      </c>
      <c r="AK124" s="11">
        <v>743</v>
      </c>
      <c r="AL124" s="11">
        <f>7736045.21+38+402+743</f>
        <v>7737228.21</v>
      </c>
      <c r="AM124" s="17">
        <v>3.4000000000000002E-2</v>
      </c>
      <c r="AN124" s="17">
        <f t="shared" si="27"/>
        <v>263073.75424000004</v>
      </c>
      <c r="AO124" s="11">
        <f>52615+78922+78922+13154+26307+13154</f>
        <v>263074</v>
      </c>
      <c r="AP124" s="11">
        <f>263074</f>
        <v>263074</v>
      </c>
      <c r="AQ124" s="11">
        <v>0</v>
      </c>
      <c r="AR124" s="11"/>
      <c r="AS124" s="11">
        <v>10</v>
      </c>
      <c r="AT124" s="11" t="s">
        <v>948</v>
      </c>
    </row>
    <row r="125" spans="1:46" s="32" customFormat="1" x14ac:dyDescent="0.15">
      <c r="A125" s="57">
        <v>41130</v>
      </c>
      <c r="B125" s="11" t="s">
        <v>1107</v>
      </c>
      <c r="C125" s="26" t="s">
        <v>149</v>
      </c>
      <c r="D125" s="26" t="s">
        <v>1108</v>
      </c>
      <c r="E125" s="26" t="s">
        <v>900</v>
      </c>
      <c r="F125" s="26" t="s">
        <v>1109</v>
      </c>
      <c r="G125" s="26" t="s">
        <v>943</v>
      </c>
      <c r="H125" s="26" t="s">
        <v>1110</v>
      </c>
      <c r="I125" s="27" t="s">
        <v>1111</v>
      </c>
      <c r="J125" s="27" t="s">
        <v>1112</v>
      </c>
      <c r="K125" s="27" t="s">
        <v>894</v>
      </c>
      <c r="L125" s="26"/>
      <c r="M125" s="26">
        <v>1615034.9</v>
      </c>
      <c r="N125" s="26">
        <f>1527323.5+1503973.3+5590963.1+1918613.4+8500000+1929960.1</f>
        <v>20970833.399999999</v>
      </c>
      <c r="O125" s="26"/>
      <c r="P125" s="26"/>
      <c r="Q125" s="28" t="s">
        <v>1113</v>
      </c>
      <c r="R125" s="29">
        <v>41134</v>
      </c>
      <c r="S125" s="26">
        <v>485</v>
      </c>
      <c r="T125" s="26"/>
      <c r="U125" s="26" t="s">
        <v>906</v>
      </c>
      <c r="V125" s="30">
        <v>0.03</v>
      </c>
      <c r="W125" s="26">
        <f t="shared" si="34"/>
        <v>677576.04899999988</v>
      </c>
      <c r="X125" s="26">
        <f>58141+100000+100000+419435</f>
        <v>677576</v>
      </c>
      <c r="Y125" s="26">
        <f>677576</f>
        <v>677576</v>
      </c>
      <c r="Z125" s="26">
        <v>0</v>
      </c>
      <c r="AA125" s="26">
        <f>500000+300000+850000+1000000+200000+2000000+2000000+1500000+1500000+500000+2000000+2000000+500000+1500000+500000+1500000+700000+700000</f>
        <v>19750000</v>
      </c>
      <c r="AB125" s="26">
        <f>19750000</f>
        <v>19750000</v>
      </c>
      <c r="AC125" s="11">
        <v>18850000</v>
      </c>
      <c r="AD125" s="11">
        <v>18850000</v>
      </c>
      <c r="AE125" s="31">
        <f t="shared" si="33"/>
        <v>0.83459266429885282</v>
      </c>
      <c r="AF125" s="26">
        <f>1938+290649+99880+85000+896486.95+154000+1027843.48+85000+44152+600000+2186476.11+1420000+161298+241600+100000+150000+100000+340000+18227+1950481.81+1646000+150000+108000+150000+100000+858285.83+600000+484598+100000+76725.77+115086.95+97917+1731357.66+30000+12500+49641+200476.34+60000+13000+8724.5+23000</f>
        <v>16568345.399999999</v>
      </c>
      <c r="AG125" s="26">
        <f>16568345.4</f>
        <v>16568345.4</v>
      </c>
      <c r="AH125" s="26">
        <f>1938+17000+290640+99880+85000+39100+900000+188000+6800+1027843.48+85000+30000+44152+1036000+2186476.11+51000+1420000+161298+241600+100000+50000+51000+1442548.16-50000+100000+17000+340000+18227+136000+1950481.81+1646000+150000+108000+150000+51000+100000+858285.83+600000+17000+484598+100000+50000+76725.77-30000+115086.95+97917-50000+1829957.66+30000+12500+49641+200476.34+60000+13000+8724.5+23000</f>
        <v>18818897.609999999</v>
      </c>
      <c r="AI125" s="26"/>
      <c r="AJ125" s="26"/>
      <c r="AK125" s="26"/>
      <c r="AL125" s="26">
        <f>18818897.61</f>
        <v>18818897.609999999</v>
      </c>
      <c r="AM125" s="30">
        <v>3.4000000000000002E-2</v>
      </c>
      <c r="AN125" s="30">
        <f t="shared" si="27"/>
        <v>671500</v>
      </c>
      <c r="AO125" s="26">
        <f>17000+10200+28900+34000+6800+68000+68000+51000+51000+17000+68000+68000+17000+51000+17000+51000+23800+23800</f>
        <v>671500</v>
      </c>
      <c r="AP125" s="26">
        <f>671500</f>
        <v>671500</v>
      </c>
      <c r="AQ125" s="26">
        <f t="shared" si="35"/>
        <v>0</v>
      </c>
      <c r="AR125" s="26"/>
      <c r="AS125" s="26"/>
      <c r="AT125" s="26"/>
    </row>
    <row r="126" spans="1:46" x14ac:dyDescent="0.15">
      <c r="A126" s="54">
        <v>41155</v>
      </c>
      <c r="B126" s="11" t="s">
        <v>1114</v>
      </c>
      <c r="C126" s="11" t="s">
        <v>1115</v>
      </c>
      <c r="D126" s="11" t="s">
        <v>1116</v>
      </c>
      <c r="E126" s="11" t="s">
        <v>988</v>
      </c>
      <c r="F126" s="11" t="s">
        <v>1117</v>
      </c>
      <c r="G126" s="11" t="s">
        <v>943</v>
      </c>
      <c r="H126" s="11" t="s">
        <v>1118</v>
      </c>
      <c r="I126" s="11" t="s">
        <v>1119</v>
      </c>
      <c r="J126" s="11" t="s">
        <v>1120</v>
      </c>
      <c r="K126" s="11" t="s">
        <v>894</v>
      </c>
      <c r="L126" s="11"/>
      <c r="M126" s="11">
        <v>20572132.07</v>
      </c>
      <c r="N126" s="11"/>
      <c r="O126" s="11"/>
      <c r="P126" s="11"/>
      <c r="Q126" s="15" t="s">
        <v>1121</v>
      </c>
      <c r="R126" s="16">
        <v>41199</v>
      </c>
      <c r="S126" s="11">
        <v>6981</v>
      </c>
      <c r="T126" s="11"/>
      <c r="U126" s="11" t="s">
        <v>938</v>
      </c>
      <c r="V126" s="17">
        <v>0.03</v>
      </c>
      <c r="W126" s="11">
        <f>(M126+N126)*V126</f>
        <v>617163.9621</v>
      </c>
      <c r="X126" s="11">
        <f>160000+200000+200000+57164</f>
        <v>617164</v>
      </c>
      <c r="Y126" s="11">
        <f>617164</f>
        <v>617164</v>
      </c>
      <c r="Z126" s="11">
        <v>0</v>
      </c>
      <c r="AA126" s="11">
        <f>1500000+1000000+2000000+1000000+1350000+500000+500000+200000+300000+100000</f>
        <v>8450000</v>
      </c>
      <c r="AB126" s="11">
        <f>8450000</f>
        <v>8450000</v>
      </c>
      <c r="AC126" s="11">
        <v>11402300</v>
      </c>
      <c r="AD126" s="11">
        <v>11402300</v>
      </c>
      <c r="AE126" s="18">
        <f t="shared" si="33"/>
        <v>0.55425951773991311</v>
      </c>
      <c r="AF126" s="11">
        <f>1060000+100000+320000+500000+905000+365000+135000+891724+107450+158455.45+945898+200000+282568+250000+100000+340000+539036+549000+432800+100000+200000+110000+606576+98000+170000+9621</f>
        <v>9476128.4499999993</v>
      </c>
      <c r="AG126" s="11">
        <f>9476128.45</f>
        <v>9476128.4499999993</v>
      </c>
      <c r="AH126" s="11">
        <f>1111000+120942+250000+172000+500000+1305000+365000+135000+523429.22+925724-34000+107450+158455.45+1195898+200000+282568+250000+100000+340000+38200+539036+549000+432800+100000+34000+6800+200000+110000+616776+98000+120000+20000+30000+3400+9621</f>
        <v>10916099.67</v>
      </c>
      <c r="AI126" s="11"/>
      <c r="AJ126" s="11"/>
      <c r="AK126" s="11"/>
      <c r="AL126" s="11">
        <f>10916099.67</f>
        <v>10916099.67</v>
      </c>
      <c r="AM126" s="17">
        <v>3.4000000000000002E-2</v>
      </c>
      <c r="AN126" s="17">
        <f t="shared" si="27"/>
        <v>287300</v>
      </c>
      <c r="AO126" s="11">
        <f>51000+34000+68000+34000+45900+17000+17000+6800+10200+3400</f>
        <v>287300</v>
      </c>
      <c r="AP126" s="11">
        <f>287300</f>
        <v>287300</v>
      </c>
      <c r="AQ126" s="11">
        <v>0</v>
      </c>
      <c r="AR126" s="11"/>
      <c r="AS126" s="11">
        <v>55</v>
      </c>
      <c r="AT126" s="11" t="s">
        <v>948</v>
      </c>
    </row>
    <row r="127" spans="1:46" x14ac:dyDescent="0.15">
      <c r="A127" s="54">
        <v>41155</v>
      </c>
      <c r="B127" s="11" t="s">
        <v>1122</v>
      </c>
      <c r="C127" s="11" t="s">
        <v>155</v>
      </c>
      <c r="D127" s="11" t="s">
        <v>1123</v>
      </c>
      <c r="E127" s="11" t="s">
        <v>988</v>
      </c>
      <c r="F127" s="11" t="s">
        <v>1124</v>
      </c>
      <c r="G127" s="11" t="s">
        <v>943</v>
      </c>
      <c r="H127" s="25" t="s">
        <v>1125</v>
      </c>
      <c r="I127" s="25" t="s">
        <v>1067</v>
      </c>
      <c r="J127" s="25" t="s">
        <v>1068</v>
      </c>
      <c r="K127" s="25" t="s">
        <v>894</v>
      </c>
      <c r="L127" s="11"/>
      <c r="M127" s="11">
        <v>500000</v>
      </c>
      <c r="N127" s="11">
        <f>1448352.21+231798.88</f>
        <v>1680151.0899999999</v>
      </c>
      <c r="O127" s="11"/>
      <c r="P127" s="11"/>
      <c r="Q127" s="15" t="s">
        <v>1126</v>
      </c>
      <c r="R127" s="16">
        <v>41155</v>
      </c>
      <c r="S127" s="11">
        <f>150+70</f>
        <v>220</v>
      </c>
      <c r="T127" s="11"/>
      <c r="U127" s="11" t="s">
        <v>906</v>
      </c>
      <c r="V127" s="17">
        <v>0.03</v>
      </c>
      <c r="W127" s="11">
        <f>(M127+N127)*V127</f>
        <v>65404.532699999996</v>
      </c>
      <c r="X127" s="11">
        <f>15000+43451+6954</f>
        <v>65405</v>
      </c>
      <c r="Y127" s="11">
        <f>65405</f>
        <v>65405</v>
      </c>
      <c r="Z127" s="11">
        <v>0</v>
      </c>
      <c r="AA127" s="11">
        <f>200000+57949.72+362088.05+231736.35+75000+34769.83+200000+10000+292439.76+54407.22+92719.55+125000</f>
        <v>1736110.48</v>
      </c>
      <c r="AB127" s="11">
        <f>1736110.48</f>
        <v>1736110.48</v>
      </c>
      <c r="AC127" s="11">
        <v>1681703.26</v>
      </c>
      <c r="AD127" s="11">
        <v>1681703.26</v>
      </c>
      <c r="AE127" s="18">
        <f t="shared" si="33"/>
        <v>0.77137005215542198</v>
      </c>
      <c r="AF127" s="11">
        <f>47000+98000+193158.45+212580+200000+101457.16+27500+9900+100000+90000+210317.55</f>
        <v>1289913.1599999999</v>
      </c>
      <c r="AG127" s="11">
        <f>1289913.16</f>
        <v>1289913.1599999999</v>
      </c>
      <c r="AH127" s="11">
        <f>53800+1970+12311+98000+193158.45+7879+3732+212580+200000+101457.16+27500+9900+6800+100000+90000+340+9943+1850+3152+4250+210317.55</f>
        <v>1348940.16</v>
      </c>
      <c r="AI127" s="11"/>
      <c r="AJ127" s="11"/>
      <c r="AK127" s="11"/>
      <c r="AL127" s="11">
        <f>1348940.16</f>
        <v>1348940.16</v>
      </c>
      <c r="AM127" s="17">
        <v>3.4000000000000002E-2</v>
      </c>
      <c r="AN127" s="17">
        <f t="shared" si="27"/>
        <v>59027.75632</v>
      </c>
      <c r="AO127" s="11">
        <f>6800+1970+12311+7879+2550+1182+6800+340+9943+1850+4250+3152</f>
        <v>59027</v>
      </c>
      <c r="AP127" s="11">
        <f>59027</f>
        <v>59027</v>
      </c>
      <c r="AQ127" s="11">
        <v>0</v>
      </c>
      <c r="AR127" s="11"/>
      <c r="AS127" s="11">
        <v>63</v>
      </c>
      <c r="AT127" s="11" t="s">
        <v>1127</v>
      </c>
    </row>
    <row r="128" spans="1:46" x14ac:dyDescent="0.15">
      <c r="A128" s="54">
        <v>41172</v>
      </c>
      <c r="B128" s="11" t="s">
        <v>1128</v>
      </c>
      <c r="C128" s="11" t="s">
        <v>157</v>
      </c>
      <c r="D128" s="11" t="s">
        <v>1129</v>
      </c>
      <c r="E128" s="11" t="s">
        <v>900</v>
      </c>
      <c r="F128" s="11" t="s">
        <v>1130</v>
      </c>
      <c r="G128" s="11" t="s">
        <v>943</v>
      </c>
      <c r="H128" s="25" t="s">
        <v>1131</v>
      </c>
      <c r="I128" s="11" t="s">
        <v>1132</v>
      </c>
      <c r="J128" s="11" t="s">
        <v>1133</v>
      </c>
      <c r="K128" s="11" t="s">
        <v>894</v>
      </c>
      <c r="L128" s="11"/>
      <c r="M128" s="11">
        <v>7729248</v>
      </c>
      <c r="N128" s="11">
        <f>364302</f>
        <v>364302</v>
      </c>
      <c r="O128" s="11"/>
      <c r="P128" s="11"/>
      <c r="Q128" s="15" t="s">
        <v>1134</v>
      </c>
      <c r="R128" s="16">
        <v>41199</v>
      </c>
      <c r="S128" s="11">
        <v>2319</v>
      </c>
      <c r="T128" s="11"/>
      <c r="U128" s="11" t="s">
        <v>906</v>
      </c>
      <c r="V128" s="17">
        <v>0.03</v>
      </c>
      <c r="W128" s="11">
        <f t="shared" ref="W128:W143" si="37">(M128+N128)*V128</f>
        <v>242806.5</v>
      </c>
      <c r="X128" s="11">
        <f>100000+75400+56477+10929</f>
        <v>242806</v>
      </c>
      <c r="Y128" s="11">
        <f>242806</f>
        <v>242806</v>
      </c>
      <c r="Z128" s="11">
        <v>0</v>
      </c>
      <c r="AA128" s="11">
        <f>1000000+1000000+1000000+1000000+1000000+100000+270000</f>
        <v>5370000</v>
      </c>
      <c r="AB128" s="11">
        <f>5370000</f>
        <v>5370000</v>
      </c>
      <c r="AC128" s="11">
        <v>5370000</v>
      </c>
      <c r="AD128" s="11">
        <v>5370000</v>
      </c>
      <c r="AE128" s="18">
        <f t="shared" si="33"/>
        <v>0.66349129862668421</v>
      </c>
      <c r="AF128" s="11">
        <f>868357.38+31500+200000+85896+232143.7+239750.01+205800+948440+720000+55382+105000+60390+26000+372628.15+200000+312625.2+50000+60000+2440.06+100789.5+687+28562</f>
        <v>4906391</v>
      </c>
      <c r="AG128" s="11">
        <f>4906391</f>
        <v>4906391</v>
      </c>
      <c r="AH128" s="11">
        <f>916357.38+165500+100000+85896+232143.7+239750.01+239800+982440+720000+55382+105000+65090+84000+348628.15+200000+312625.2+50000+60000+2440.06+3400+100000+28560</f>
        <v>5097012.5</v>
      </c>
      <c r="AI128" s="11"/>
      <c r="AJ128" s="11">
        <f>111.5+400</f>
        <v>511.5</v>
      </c>
      <c r="AK128" s="11">
        <f>687+287</f>
        <v>974</v>
      </c>
      <c r="AL128" s="11">
        <f>5097012.5+511.5+974</f>
        <v>5098498</v>
      </c>
      <c r="AM128" s="17">
        <v>3.4000000000000002E-2</v>
      </c>
      <c r="AN128" s="17">
        <f t="shared" si="27"/>
        <v>182580</v>
      </c>
      <c r="AO128" s="11">
        <f>34000+34000+34000+34000+34000+3400</f>
        <v>173400</v>
      </c>
      <c r="AP128" s="11">
        <f>173400</f>
        <v>173400</v>
      </c>
      <c r="AQ128" s="11">
        <f>AN128-AP128</f>
        <v>9180</v>
      </c>
      <c r="AR128" s="11"/>
      <c r="AS128" s="11">
        <v>50</v>
      </c>
      <c r="AT128" s="11" t="s">
        <v>1135</v>
      </c>
    </row>
    <row r="129" spans="1:46" x14ac:dyDescent="0.15">
      <c r="A129" s="54">
        <v>41242</v>
      </c>
      <c r="B129" s="11" t="s">
        <v>1136</v>
      </c>
      <c r="C129" s="11" t="s">
        <v>165</v>
      </c>
      <c r="D129" s="11" t="s">
        <v>1137</v>
      </c>
      <c r="E129" s="11" t="s">
        <v>900</v>
      </c>
      <c r="F129" s="11" t="s">
        <v>1041</v>
      </c>
      <c r="G129" s="11" t="s">
        <v>943</v>
      </c>
      <c r="H129" s="25" t="s">
        <v>1042</v>
      </c>
      <c r="I129" s="11" t="s">
        <v>1043</v>
      </c>
      <c r="J129" s="11" t="s">
        <v>1044</v>
      </c>
      <c r="K129" s="11" t="s">
        <v>894</v>
      </c>
      <c r="L129" s="11"/>
      <c r="M129" s="11">
        <v>1947790</v>
      </c>
      <c r="N129" s="11">
        <f>1962080+1996240</f>
        <v>3958320</v>
      </c>
      <c r="O129" s="11"/>
      <c r="P129" s="11"/>
      <c r="Q129" s="15" t="s">
        <v>1138</v>
      </c>
      <c r="R129" s="16">
        <v>41247</v>
      </c>
      <c r="S129" s="11">
        <f>585+589+599</f>
        <v>1773</v>
      </c>
      <c r="T129" s="11"/>
      <c r="U129" s="11" t="s">
        <v>906</v>
      </c>
      <c r="V129" s="17">
        <v>0.03</v>
      </c>
      <c r="W129" s="11">
        <f t="shared" si="37"/>
        <v>177183.3</v>
      </c>
      <c r="X129" s="11">
        <f>100000+77183</f>
        <v>177183</v>
      </c>
      <c r="Y129" s="11">
        <f>177183</f>
        <v>177183</v>
      </c>
      <c r="Z129" s="11">
        <v>0</v>
      </c>
      <c r="AA129" s="11">
        <f>1180000+1256010+1282920+1210178.8</f>
        <v>4929108.8</v>
      </c>
      <c r="AB129" s="11">
        <f>4929108.8</f>
        <v>4929108.8</v>
      </c>
      <c r="AC129" s="11">
        <v>4679800</v>
      </c>
      <c r="AD129" s="11">
        <v>4679800</v>
      </c>
      <c r="AE129" s="18">
        <f t="shared" si="33"/>
        <v>0.79236587195294361</v>
      </c>
      <c r="AF129" s="11">
        <f>633623.41+390548+400000+150000+290500+205649.3+1500000</f>
        <v>3570320.71</v>
      </c>
      <c r="AG129" s="11">
        <f>3570320.71</f>
        <v>3570320.71</v>
      </c>
      <c r="AH129" s="11">
        <f>673743.41+390548+42704+400000+193619+378500+205649.3+80000+1500000+41146</f>
        <v>3905909.71</v>
      </c>
      <c r="AI129" s="11"/>
      <c r="AJ129" s="11"/>
      <c r="AK129" s="11"/>
      <c r="AL129" s="11">
        <f>3905909.71</f>
        <v>3905909.71</v>
      </c>
      <c r="AM129" s="17">
        <v>3.4000000000000002E-2</v>
      </c>
      <c r="AN129" s="17">
        <f t="shared" si="27"/>
        <v>167589.6992</v>
      </c>
      <c r="AO129" s="11">
        <f>40120+42704+43619+41146</f>
        <v>167589</v>
      </c>
      <c r="AP129" s="11">
        <f>167589</f>
        <v>167589</v>
      </c>
      <c r="AQ129" s="11">
        <v>0</v>
      </c>
      <c r="AR129" s="11"/>
      <c r="AS129" s="11"/>
      <c r="AT129" s="11"/>
    </row>
    <row r="130" spans="1:46" x14ac:dyDescent="0.15">
      <c r="A130" s="54">
        <v>41284</v>
      </c>
      <c r="B130" s="11" t="s">
        <v>1139</v>
      </c>
      <c r="C130" s="11" t="s">
        <v>1140</v>
      </c>
      <c r="D130" s="11" t="s">
        <v>1141</v>
      </c>
      <c r="E130" s="11" t="s">
        <v>900</v>
      </c>
      <c r="F130" s="11" t="s">
        <v>1142</v>
      </c>
      <c r="G130" s="11" t="s">
        <v>983</v>
      </c>
      <c r="H130" s="11" t="s">
        <v>1081</v>
      </c>
      <c r="I130" s="11" t="s">
        <v>1143</v>
      </c>
      <c r="J130" s="11" t="s">
        <v>1079</v>
      </c>
      <c r="K130" s="11" t="s">
        <v>526</v>
      </c>
      <c r="L130" s="11"/>
      <c r="M130" s="11">
        <v>1973264</v>
      </c>
      <c r="N130" s="11">
        <v>1837947</v>
      </c>
      <c r="O130" s="11"/>
      <c r="P130" s="11"/>
      <c r="Q130" s="15" t="s">
        <v>1144</v>
      </c>
      <c r="R130" s="16">
        <v>41461</v>
      </c>
      <c r="S130" s="11">
        <f>592+552</f>
        <v>1144</v>
      </c>
      <c r="T130" s="11"/>
      <c r="U130" s="11" t="s">
        <v>906</v>
      </c>
      <c r="V130" s="17">
        <v>3.5999999999999997E-2</v>
      </c>
      <c r="W130" s="11">
        <f t="shared" si="37"/>
        <v>137203.59599999999</v>
      </c>
      <c r="X130" s="11">
        <f>30310+106894</f>
        <v>137204</v>
      </c>
      <c r="Y130" s="11">
        <f>137204</f>
        <v>137204</v>
      </c>
      <c r="Z130" s="11">
        <v>0</v>
      </c>
      <c r="AA130" s="11">
        <v>1500000</v>
      </c>
      <c r="AB130" s="11">
        <v>1500000</v>
      </c>
      <c r="AC130" s="11">
        <v>1500000</v>
      </c>
      <c r="AD130" s="11">
        <v>1500000</v>
      </c>
      <c r="AE130" s="18">
        <f t="shared" si="33"/>
        <v>0.39357569024648598</v>
      </c>
      <c r="AF130" s="11">
        <f>523403.7+200000+500000+150000</f>
        <v>1373403.7</v>
      </c>
      <c r="AG130" s="11">
        <f>1373403.7</f>
        <v>1373403.7</v>
      </c>
      <c r="AH130" s="11">
        <f>51000+523403.7+200000+500000+150000</f>
        <v>1424403.7</v>
      </c>
      <c r="AI130" s="11"/>
      <c r="AJ130" s="11"/>
      <c r="AK130" s="11"/>
      <c r="AL130" s="11">
        <f>1424403.7</f>
        <v>1424403.7</v>
      </c>
      <c r="AM130" s="17">
        <v>3.4000000000000002E-2</v>
      </c>
      <c r="AN130" s="17">
        <f t="shared" si="27"/>
        <v>51000.000000000007</v>
      </c>
      <c r="AO130" s="11">
        <f>51000</f>
        <v>51000</v>
      </c>
      <c r="AP130" s="11">
        <f>51000</f>
        <v>51000</v>
      </c>
      <c r="AQ130" s="11">
        <f t="shared" ref="AQ130:AQ215" si="38">AN130-AP130</f>
        <v>0</v>
      </c>
      <c r="AR130" s="11"/>
      <c r="AS130" s="11">
        <v>20</v>
      </c>
      <c r="AT130" s="11" t="s">
        <v>907</v>
      </c>
    </row>
    <row r="131" spans="1:46" x14ac:dyDescent="0.15">
      <c r="A131" s="54">
        <v>41297</v>
      </c>
      <c r="B131" s="11" t="s">
        <v>1145</v>
      </c>
      <c r="C131" s="11" t="s">
        <v>1146</v>
      </c>
      <c r="D131" s="11" t="s">
        <v>1147</v>
      </c>
      <c r="E131" s="11" t="s">
        <v>900</v>
      </c>
      <c r="F131" s="11" t="s">
        <v>1148</v>
      </c>
      <c r="G131" s="11" t="s">
        <v>943</v>
      </c>
      <c r="H131" s="11" t="s">
        <v>1079</v>
      </c>
      <c r="I131" s="11" t="s">
        <v>1149</v>
      </c>
      <c r="J131" s="11" t="s">
        <v>1079</v>
      </c>
      <c r="K131" s="11" t="s">
        <v>894</v>
      </c>
      <c r="L131" s="11"/>
      <c r="M131" s="11">
        <v>478942</v>
      </c>
      <c r="N131" s="11">
        <f>19643</f>
        <v>19643</v>
      </c>
      <c r="O131" s="11"/>
      <c r="P131" s="11"/>
      <c r="Q131" s="15" t="s">
        <v>1150</v>
      </c>
      <c r="R131" s="16">
        <v>41471</v>
      </c>
      <c r="S131" s="11">
        <v>144</v>
      </c>
      <c r="T131" s="11"/>
      <c r="U131" s="11" t="s">
        <v>906</v>
      </c>
      <c r="V131" s="17">
        <v>3.5999999999999997E-2</v>
      </c>
      <c r="W131" s="11">
        <f t="shared" si="37"/>
        <v>17949.059999999998</v>
      </c>
      <c r="X131" s="11">
        <f>17242+589</f>
        <v>17831</v>
      </c>
      <c r="Y131" s="11">
        <f>17831</f>
        <v>17831</v>
      </c>
      <c r="Z131" s="11">
        <f>W131-Y131</f>
        <v>118.05999999999767</v>
      </c>
      <c r="AA131" s="11">
        <f>143000+143000+212585</f>
        <v>498585</v>
      </c>
      <c r="AB131" s="11">
        <f>498585</f>
        <v>498585</v>
      </c>
      <c r="AC131" s="11">
        <v>473655</v>
      </c>
      <c r="AD131" s="11">
        <v>473655</v>
      </c>
      <c r="AE131" s="18">
        <f t="shared" si="33"/>
        <v>0.94999849574295259</v>
      </c>
      <c r="AF131" s="11">
        <f>450000</f>
        <v>450000</v>
      </c>
      <c r="AG131" s="11">
        <f>450000</f>
        <v>450000</v>
      </c>
      <c r="AH131" s="11">
        <f>4862+12090+450000</f>
        <v>466952</v>
      </c>
      <c r="AI131" s="11"/>
      <c r="AJ131" s="11"/>
      <c r="AK131" s="11"/>
      <c r="AL131" s="11">
        <f>466952</f>
        <v>466952</v>
      </c>
      <c r="AM131" s="17">
        <v>3.4000000000000002E-2</v>
      </c>
      <c r="AN131" s="17">
        <f t="shared" si="27"/>
        <v>16951.89</v>
      </c>
      <c r="AO131" s="11">
        <f>4862+4862+7228</f>
        <v>16952</v>
      </c>
      <c r="AP131" s="11">
        <f>16952</f>
        <v>16952</v>
      </c>
      <c r="AQ131" s="11">
        <v>0</v>
      </c>
      <c r="AR131" s="11"/>
      <c r="AS131" s="11">
        <v>6</v>
      </c>
      <c r="AT131" s="11" t="s">
        <v>907</v>
      </c>
    </row>
    <row r="132" spans="1:46" x14ac:dyDescent="0.15">
      <c r="A132" s="54">
        <v>41294</v>
      </c>
      <c r="B132" s="11" t="s">
        <v>1151</v>
      </c>
      <c r="C132" s="11" t="s">
        <v>180</v>
      </c>
      <c r="D132" s="11" t="s">
        <v>1152</v>
      </c>
      <c r="E132" s="11" t="s">
        <v>900</v>
      </c>
      <c r="F132" s="11" t="s">
        <v>1153</v>
      </c>
      <c r="G132" s="11" t="s">
        <v>943</v>
      </c>
      <c r="H132" s="11" t="s">
        <v>1154</v>
      </c>
      <c r="I132" s="25" t="s">
        <v>1155</v>
      </c>
      <c r="J132" s="25" t="s">
        <v>1156</v>
      </c>
      <c r="K132" s="25" t="s">
        <v>894</v>
      </c>
      <c r="L132" s="11"/>
      <c r="M132" s="11">
        <v>5145173.21</v>
      </c>
      <c r="N132" s="11"/>
      <c r="O132" s="11"/>
      <c r="P132" s="11"/>
      <c r="Q132" s="15" t="s">
        <v>1157</v>
      </c>
      <c r="R132" s="16">
        <v>41453</v>
      </c>
      <c r="S132" s="11">
        <v>1544</v>
      </c>
      <c r="T132" s="11"/>
      <c r="U132" s="11" t="s">
        <v>906</v>
      </c>
      <c r="V132" s="17">
        <v>0.03</v>
      </c>
      <c r="W132" s="11">
        <f t="shared" si="37"/>
        <v>154355.19629999998</v>
      </c>
      <c r="X132" s="11">
        <f>50000+50000+54355</f>
        <v>154355</v>
      </c>
      <c r="Y132" s="11">
        <v>154355</v>
      </c>
      <c r="Z132" s="11">
        <v>0</v>
      </c>
      <c r="AA132" s="11">
        <f>300000+583000+1011000+700000+1300000+218000</f>
        <v>4112000</v>
      </c>
      <c r="AB132" s="11">
        <f>4112000</f>
        <v>4112000</v>
      </c>
      <c r="AC132" s="11">
        <v>4112000</v>
      </c>
      <c r="AD132" s="11">
        <v>4112000</v>
      </c>
      <c r="AE132" s="18">
        <f t="shared" si="33"/>
        <v>0.79919564068475746</v>
      </c>
      <c r="AF132" s="11">
        <f>210000+25350+50000+540000+25000+797999+149982+30000+240000+384000+881524.81+100000+100000+73230+4000+80000+20000+20000+52427+180000</f>
        <v>3963512.81</v>
      </c>
      <c r="AG132" s="11">
        <f>3963512.81</f>
        <v>3963512.81</v>
      </c>
      <c r="AH132" s="11">
        <f>220200+45172+50000+540000+25000+832373+149982+30000+263800+384000+44200+881524.81+100000+100000+73230+4000+80000+20000+20000+7412+52427+180000</f>
        <v>4103320.81</v>
      </c>
      <c r="AI132" s="11"/>
      <c r="AJ132" s="11"/>
      <c r="AK132" s="11"/>
      <c r="AL132" s="11">
        <f>4103320.81</f>
        <v>4103320.81</v>
      </c>
      <c r="AM132" s="17">
        <v>3.4000000000000002E-2</v>
      </c>
      <c r="AN132" s="17">
        <f t="shared" si="27"/>
        <v>139808</v>
      </c>
      <c r="AO132" s="11">
        <f>10200+19820+34374+23800+44200+7412</f>
        <v>139806</v>
      </c>
      <c r="AP132" s="11">
        <f>139806</f>
        <v>139806</v>
      </c>
      <c r="AQ132" s="11">
        <v>0</v>
      </c>
      <c r="AR132" s="11"/>
      <c r="AS132" s="11">
        <v>75</v>
      </c>
      <c r="AT132" s="11" t="s">
        <v>994</v>
      </c>
    </row>
    <row r="133" spans="1:46" x14ac:dyDescent="0.15">
      <c r="A133" s="54">
        <v>41299</v>
      </c>
      <c r="B133" s="11" t="s">
        <v>1158</v>
      </c>
      <c r="C133" s="11" t="s">
        <v>188</v>
      </c>
      <c r="D133" s="11" t="s">
        <v>1159</v>
      </c>
      <c r="E133" s="11" t="s">
        <v>900</v>
      </c>
      <c r="F133" s="11" t="s">
        <v>1160</v>
      </c>
      <c r="G133" s="11" t="s">
        <v>943</v>
      </c>
      <c r="H133" s="11" t="s">
        <v>963</v>
      </c>
      <c r="I133" s="11" t="s">
        <v>964</v>
      </c>
      <c r="J133" s="11" t="s">
        <v>904</v>
      </c>
      <c r="K133" s="11" t="s">
        <v>894</v>
      </c>
      <c r="L133" s="11"/>
      <c r="M133" s="11">
        <v>5903500</v>
      </c>
      <c r="N133" s="11"/>
      <c r="O133" s="11"/>
      <c r="P133" s="11"/>
      <c r="Q133" s="15" t="s">
        <v>1161</v>
      </c>
      <c r="R133" s="16">
        <v>41361</v>
      </c>
      <c r="S133" s="11">
        <v>1772</v>
      </c>
      <c r="T133" s="11"/>
      <c r="U133" s="11" t="s">
        <v>938</v>
      </c>
      <c r="V133" s="17">
        <v>0.04</v>
      </c>
      <c r="W133" s="11">
        <f t="shared" si="37"/>
        <v>236140</v>
      </c>
      <c r="X133" s="11">
        <f>236140</f>
        <v>236140</v>
      </c>
      <c r="Y133" s="11">
        <f>236140</f>
        <v>236140</v>
      </c>
      <c r="Z133" s="11">
        <f t="shared" ref="Z133:Z143" si="39">W133-Y133</f>
        <v>0</v>
      </c>
      <c r="AA133" s="11">
        <f>300000+800000+300000+1500000+1000000+1500000</f>
        <v>5400000</v>
      </c>
      <c r="AB133" s="11">
        <f>5400000</f>
        <v>5400000</v>
      </c>
      <c r="AC133" s="11">
        <v>4000000</v>
      </c>
      <c r="AD133" s="11">
        <v>4000000</v>
      </c>
      <c r="AE133" s="18">
        <f t="shared" si="33"/>
        <v>0.67756415685610227</v>
      </c>
      <c r="AF133" s="11">
        <f>28800+200155.74+300000+609077.08+500000+471466.5+597000</f>
        <v>2706499.32</v>
      </c>
      <c r="AG133" s="11">
        <f>2706499.32</f>
        <v>2706499.32</v>
      </c>
      <c r="AH133" s="11">
        <f>1066200+10200+310000+351000+609077.08+500000+34000+471466.5+648000</f>
        <v>3999943.58</v>
      </c>
      <c r="AI133" s="11"/>
      <c r="AJ133" s="11"/>
      <c r="AK133" s="11"/>
      <c r="AL133" s="11">
        <f>3999943.58</f>
        <v>3999943.58</v>
      </c>
      <c r="AM133" s="17">
        <v>3.4000000000000002E-2</v>
      </c>
      <c r="AN133" s="17">
        <f t="shared" si="27"/>
        <v>183600</v>
      </c>
      <c r="AO133" s="11">
        <f>10200+27200+10200+51000+34000+51000</f>
        <v>183600</v>
      </c>
      <c r="AP133" s="11">
        <f>183600</f>
        <v>183600</v>
      </c>
      <c r="AQ133" s="11">
        <f t="shared" si="38"/>
        <v>0</v>
      </c>
      <c r="AR133" s="11"/>
      <c r="AS133" s="11">
        <v>74</v>
      </c>
      <c r="AT133" s="11" t="s">
        <v>907</v>
      </c>
    </row>
    <row r="134" spans="1:46" x14ac:dyDescent="0.15">
      <c r="A134" s="54">
        <v>41294</v>
      </c>
      <c r="B134" s="11" t="s">
        <v>1162</v>
      </c>
      <c r="C134" s="11" t="s">
        <v>182</v>
      </c>
      <c r="D134" s="11" t="s">
        <v>1163</v>
      </c>
      <c r="E134" s="11" t="s">
        <v>900</v>
      </c>
      <c r="F134" s="11" t="s">
        <v>1164</v>
      </c>
      <c r="G134" s="11" t="s">
        <v>1165</v>
      </c>
      <c r="H134" s="11" t="s">
        <v>1166</v>
      </c>
      <c r="I134" s="11" t="s">
        <v>1167</v>
      </c>
      <c r="J134" s="11" t="s">
        <v>1166</v>
      </c>
      <c r="K134" s="11" t="s">
        <v>1001</v>
      </c>
      <c r="L134" s="11"/>
      <c r="M134" s="11">
        <v>8338455</v>
      </c>
      <c r="N134" s="11">
        <f>1516000</f>
        <v>1516000</v>
      </c>
      <c r="O134" s="11"/>
      <c r="P134" s="11"/>
      <c r="Q134" s="15" t="s">
        <v>1168</v>
      </c>
      <c r="R134" s="16">
        <v>41569</v>
      </c>
      <c r="S134" s="11">
        <v>2502</v>
      </c>
      <c r="T134" s="11"/>
      <c r="U134" s="11" t="s">
        <v>906</v>
      </c>
      <c r="V134" s="17">
        <v>0.03</v>
      </c>
      <c r="W134" s="11">
        <f t="shared" si="37"/>
        <v>295633.64999999997</v>
      </c>
      <c r="X134" s="11">
        <f>295634</f>
        <v>295634</v>
      </c>
      <c r="Y134" s="11">
        <f>295634</f>
        <v>295634</v>
      </c>
      <c r="Z134" s="11">
        <v>0</v>
      </c>
      <c r="AA134" s="11">
        <f>4000000</f>
        <v>4000000</v>
      </c>
      <c r="AB134" s="11">
        <f>4000000</f>
        <v>4000000</v>
      </c>
      <c r="AC134" s="11">
        <v>6000000</v>
      </c>
      <c r="AD134" s="11">
        <v>6000000</v>
      </c>
      <c r="AE134" s="18">
        <f t="shared" si="33"/>
        <v>0.60886167728200091</v>
      </c>
      <c r="AF134" s="11">
        <f>2302710+620+620+2865+2000+11342+30000+284389</f>
        <v>2634546</v>
      </c>
      <c r="AG134" s="11">
        <f>2350157+284389</f>
        <v>2634546</v>
      </c>
      <c r="AH134" s="11">
        <f>1500000+2302710-620+620+2865+132000+2000+11342+30000+284389</f>
        <v>4265306</v>
      </c>
      <c r="AI134" s="11"/>
      <c r="AJ134" s="11"/>
      <c r="AK134" s="11"/>
      <c r="AL134" s="11">
        <f>3980917+284389</f>
        <v>4265306</v>
      </c>
      <c r="AM134" s="17"/>
      <c r="AN134" s="17">
        <f t="shared" si="27"/>
        <v>0</v>
      </c>
      <c r="AO134" s="11"/>
      <c r="AP134" s="11"/>
      <c r="AQ134" s="11">
        <f t="shared" si="38"/>
        <v>0</v>
      </c>
      <c r="AR134" s="11"/>
      <c r="AS134" s="11">
        <v>75</v>
      </c>
      <c r="AT134" s="11" t="s">
        <v>907</v>
      </c>
    </row>
    <row r="135" spans="1:46" x14ac:dyDescent="0.15">
      <c r="A135" s="54">
        <v>41299</v>
      </c>
      <c r="B135" s="11" t="s">
        <v>1169</v>
      </c>
      <c r="C135" s="11" t="s">
        <v>186</v>
      </c>
      <c r="D135" s="11" t="s">
        <v>1170</v>
      </c>
      <c r="E135" s="11" t="s">
        <v>900</v>
      </c>
      <c r="F135" s="11" t="s">
        <v>1171</v>
      </c>
      <c r="G135" s="11" t="s">
        <v>943</v>
      </c>
      <c r="H135" s="11" t="s">
        <v>891</v>
      </c>
      <c r="I135" s="25" t="s">
        <v>892</v>
      </c>
      <c r="J135" s="25" t="s">
        <v>891</v>
      </c>
      <c r="K135" s="11" t="s">
        <v>894</v>
      </c>
      <c r="L135" s="11"/>
      <c r="M135" s="11">
        <v>1707600</v>
      </c>
      <c r="N135" s="11"/>
      <c r="O135" s="11"/>
      <c r="P135" s="11"/>
      <c r="Q135" s="15" t="s">
        <v>1172</v>
      </c>
      <c r="R135" s="16">
        <v>41366</v>
      </c>
      <c r="S135" s="11">
        <v>513</v>
      </c>
      <c r="T135" s="11"/>
      <c r="U135" s="11" t="s">
        <v>906</v>
      </c>
      <c r="V135" s="17">
        <v>0.03</v>
      </c>
      <c r="W135" s="11">
        <f t="shared" si="37"/>
        <v>51228</v>
      </c>
      <c r="X135" s="11">
        <f>51228</f>
        <v>51228</v>
      </c>
      <c r="Y135" s="11">
        <f>51228</f>
        <v>51228</v>
      </c>
      <c r="Z135" s="11">
        <f t="shared" si="39"/>
        <v>0</v>
      </c>
      <c r="AA135" s="11">
        <f>683040+512280+341520</f>
        <v>1536840</v>
      </c>
      <c r="AB135" s="11">
        <v>1536840</v>
      </c>
      <c r="AC135" s="11">
        <v>1536840</v>
      </c>
      <c r="AD135" s="11">
        <v>1536840</v>
      </c>
      <c r="AE135" s="18">
        <f t="shared" si="33"/>
        <v>0.9</v>
      </c>
      <c r="AF135" s="11">
        <f>182000+448651.7+511960+88520+99008+41790+2160+50000+60000</f>
        <v>1484089.7</v>
      </c>
      <c r="AG135" s="11">
        <f>1484089.7</f>
        <v>1484089.7</v>
      </c>
      <c r="AH135" s="11">
        <f>205223+448651.7+17418+11612+511960+88520+99008+41790+2160+50000+60000</f>
        <v>1536342.7</v>
      </c>
      <c r="AI135" s="11"/>
      <c r="AJ135" s="11"/>
      <c r="AK135" s="11"/>
      <c r="AL135" s="11">
        <f>1536342.7</f>
        <v>1536342.7</v>
      </c>
      <c r="AM135" s="17">
        <v>3.4000000000000002E-2</v>
      </c>
      <c r="AN135" s="17">
        <f t="shared" si="27"/>
        <v>52252.560000000005</v>
      </c>
      <c r="AO135" s="11">
        <f>23223+17418+11612</f>
        <v>52253</v>
      </c>
      <c r="AP135" s="11">
        <f>52253</f>
        <v>52253</v>
      </c>
      <c r="AQ135" s="11">
        <v>0</v>
      </c>
      <c r="AR135" s="11"/>
      <c r="AS135" s="11"/>
      <c r="AT135" s="11"/>
    </row>
    <row r="136" spans="1:46" x14ac:dyDescent="0.15">
      <c r="A136" s="54">
        <v>41303</v>
      </c>
      <c r="B136" s="11" t="s">
        <v>1173</v>
      </c>
      <c r="C136" s="11" t="s">
        <v>190</v>
      </c>
      <c r="D136" s="11" t="s">
        <v>1174</v>
      </c>
      <c r="E136" s="11" t="s">
        <v>900</v>
      </c>
      <c r="F136" s="11" t="s">
        <v>1175</v>
      </c>
      <c r="G136" s="11" t="s">
        <v>943</v>
      </c>
      <c r="H136" s="11" t="s">
        <v>963</v>
      </c>
      <c r="I136" s="11" t="s">
        <v>964</v>
      </c>
      <c r="J136" s="11" t="s">
        <v>904</v>
      </c>
      <c r="K136" s="11" t="s">
        <v>894</v>
      </c>
      <c r="L136" s="11"/>
      <c r="M136" s="11">
        <v>3171737</v>
      </c>
      <c r="N136" s="11"/>
      <c r="O136" s="11"/>
      <c r="P136" s="11"/>
      <c r="Q136" s="15" t="s">
        <v>1176</v>
      </c>
      <c r="R136" s="16">
        <v>41361</v>
      </c>
      <c r="S136" s="11">
        <v>952</v>
      </c>
      <c r="T136" s="11"/>
      <c r="U136" s="11" t="s">
        <v>906</v>
      </c>
      <c r="V136" s="17">
        <v>0.04</v>
      </c>
      <c r="W136" s="11">
        <f t="shared" si="37"/>
        <v>126869.48</v>
      </c>
      <c r="X136" s="11">
        <f>126870</f>
        <v>126870</v>
      </c>
      <c r="Y136" s="11">
        <f>126870</f>
        <v>126870</v>
      </c>
      <c r="Z136" s="11">
        <v>0</v>
      </c>
      <c r="AA136" s="11">
        <f>1200000+500000+1300000</f>
        <v>3000000</v>
      </c>
      <c r="AB136" s="11">
        <f>3000000</f>
        <v>3000000</v>
      </c>
      <c r="AC136" s="11">
        <v>3000000</v>
      </c>
      <c r="AD136" s="11">
        <v>3000000</v>
      </c>
      <c r="AE136" s="18">
        <f t="shared" si="33"/>
        <v>0.94585395951808116</v>
      </c>
      <c r="AF136" s="11">
        <f>950000+200000+9075.2+150000+900000</f>
        <v>2209075.2000000002</v>
      </c>
      <c r="AG136" s="11">
        <f>2209075.2</f>
        <v>2209075.2000000002</v>
      </c>
      <c r="AH136" s="11">
        <f>1110800+80000+9075.2+467000+1260337.34+20000</f>
        <v>2947212.54</v>
      </c>
      <c r="AI136" s="11"/>
      <c r="AJ136" s="11"/>
      <c r="AK136" s="11"/>
      <c r="AL136" s="11">
        <f>2947212.54</f>
        <v>2947212.54</v>
      </c>
      <c r="AM136" s="17">
        <v>3.4000000000000002E-2</v>
      </c>
      <c r="AN136" s="17">
        <f t="shared" si="27"/>
        <v>102000.00000000001</v>
      </c>
      <c r="AO136" s="11">
        <f>40800+17000+44200</f>
        <v>102000</v>
      </c>
      <c r="AP136" s="11">
        <f>102000</f>
        <v>102000</v>
      </c>
      <c r="AQ136" s="11">
        <f t="shared" si="38"/>
        <v>0</v>
      </c>
      <c r="AR136" s="11"/>
      <c r="AS136" s="11">
        <v>40</v>
      </c>
      <c r="AT136" s="11" t="s">
        <v>907</v>
      </c>
    </row>
    <row r="137" spans="1:46" x14ac:dyDescent="0.15">
      <c r="A137" s="54">
        <v>41304</v>
      </c>
      <c r="B137" s="11" t="s">
        <v>1177</v>
      </c>
      <c r="C137" s="11" t="s">
        <v>192</v>
      </c>
      <c r="D137" s="11" t="s">
        <v>1178</v>
      </c>
      <c r="E137" s="11" t="s">
        <v>900</v>
      </c>
      <c r="F137" s="11" t="s">
        <v>1179</v>
      </c>
      <c r="G137" s="11" t="s">
        <v>943</v>
      </c>
      <c r="H137" s="11" t="s">
        <v>963</v>
      </c>
      <c r="I137" s="11" t="s">
        <v>964</v>
      </c>
      <c r="J137" s="11" t="s">
        <v>904</v>
      </c>
      <c r="K137" s="11" t="s">
        <v>894</v>
      </c>
      <c r="L137" s="11"/>
      <c r="M137" s="11">
        <v>3688900</v>
      </c>
      <c r="N137" s="11">
        <f>2437951.61</f>
        <v>2437951.61</v>
      </c>
      <c r="O137" s="11"/>
      <c r="P137" s="11"/>
      <c r="Q137" s="15" t="s">
        <v>1180</v>
      </c>
      <c r="R137" s="16">
        <v>41361</v>
      </c>
      <c r="S137" s="11">
        <v>1107</v>
      </c>
      <c r="T137" s="11"/>
      <c r="U137" s="11" t="s">
        <v>906</v>
      </c>
      <c r="V137" s="17">
        <v>0.04</v>
      </c>
      <c r="W137" s="11">
        <f t="shared" si="37"/>
        <v>245074.06439999997</v>
      </c>
      <c r="X137" s="11">
        <f>147556+73139+24379</f>
        <v>245074</v>
      </c>
      <c r="Y137" s="11">
        <f>245074</f>
        <v>245074</v>
      </c>
      <c r="Z137" s="11">
        <v>0</v>
      </c>
      <c r="AA137" s="11">
        <f>500000+500000+500000+500000+100000+300000+1500000+500000</f>
        <v>4400000</v>
      </c>
      <c r="AB137" s="11">
        <f>4400000</f>
        <v>4400000</v>
      </c>
      <c r="AC137" s="11">
        <v>4400000</v>
      </c>
      <c r="AD137" s="11">
        <v>4400000</v>
      </c>
      <c r="AE137" s="18">
        <f t="shared" si="33"/>
        <v>0.71815024748085921</v>
      </c>
      <c r="AF137" s="11">
        <f>100000+400000+100000+300000+150000+150000+100000+600000+1165632.87+330236.2+104500+100000+210000+100000</f>
        <v>3910369.0700000003</v>
      </c>
      <c r="AG137" s="11">
        <f>3910369.07</f>
        <v>3910369.07</v>
      </c>
      <c r="AH137" s="11">
        <f>117000+317000+3118+400000+100000+17000+300000+150000+17000-150000+150000+3400+150000+10200+100000+600000+51000+1165632.87+330236.2+17000+104500+100000+210000+100000</f>
        <v>4363087.07</v>
      </c>
      <c r="AI137" s="11"/>
      <c r="AJ137" s="11"/>
      <c r="AK137" s="11"/>
      <c r="AL137" s="11">
        <f>4363087.07</f>
        <v>4363087.07</v>
      </c>
      <c r="AM137" s="17">
        <v>3.4000000000000002E-2</v>
      </c>
      <c r="AN137" s="17">
        <f t="shared" si="27"/>
        <v>149600</v>
      </c>
      <c r="AO137" s="11">
        <f>17000+17000+17000+17000+3400+10200+51000+17000</f>
        <v>149600</v>
      </c>
      <c r="AP137" s="11">
        <f>149600</f>
        <v>149600</v>
      </c>
      <c r="AQ137" s="11">
        <f t="shared" si="38"/>
        <v>0</v>
      </c>
      <c r="AR137" s="11"/>
      <c r="AS137" s="11">
        <v>78</v>
      </c>
      <c r="AT137" s="11" t="s">
        <v>870</v>
      </c>
    </row>
    <row r="138" spans="1:46" x14ac:dyDescent="0.15">
      <c r="A138" s="54">
        <v>41330</v>
      </c>
      <c r="B138" s="11" t="s">
        <v>1181</v>
      </c>
      <c r="C138" s="11" t="s">
        <v>196</v>
      </c>
      <c r="D138" s="11" t="s">
        <v>1182</v>
      </c>
      <c r="E138" s="11" t="s">
        <v>900</v>
      </c>
      <c r="F138" s="11" t="s">
        <v>1183</v>
      </c>
      <c r="G138" s="11" t="s">
        <v>943</v>
      </c>
      <c r="H138" s="11" t="s">
        <v>1184</v>
      </c>
      <c r="I138" s="11" t="s">
        <v>1185</v>
      </c>
      <c r="J138" s="11" t="s">
        <v>1186</v>
      </c>
      <c r="K138" s="11" t="s">
        <v>894</v>
      </c>
      <c r="L138" s="11"/>
      <c r="M138" s="11">
        <v>10242431.93</v>
      </c>
      <c r="N138" s="11"/>
      <c r="O138" s="11"/>
      <c r="P138" s="11"/>
      <c r="Q138" s="15" t="s">
        <v>1187</v>
      </c>
      <c r="R138" s="16">
        <v>41342</v>
      </c>
      <c r="S138" s="11">
        <v>3073</v>
      </c>
      <c r="T138" s="11"/>
      <c r="U138" s="11" t="s">
        <v>906</v>
      </c>
      <c r="V138" s="17">
        <v>0.03</v>
      </c>
      <c r="W138" s="11">
        <f t="shared" si="37"/>
        <v>307272.95789999998</v>
      </c>
      <c r="X138" s="11">
        <f>200000+107273</f>
        <v>307273</v>
      </c>
      <c r="Y138" s="11">
        <f>307273</f>
        <v>307273</v>
      </c>
      <c r="Z138" s="11">
        <v>0</v>
      </c>
      <c r="AA138" s="11">
        <f>2048486.39+1259000+1397513.61+650000</f>
        <v>5355000</v>
      </c>
      <c r="AB138" s="11">
        <f>5355000</f>
        <v>5355000</v>
      </c>
      <c r="AC138" s="11">
        <v>5355000</v>
      </c>
      <c r="AD138" s="11">
        <v>5355000</v>
      </c>
      <c r="AE138" s="18">
        <f t="shared" si="33"/>
        <v>0.52282505137429802</v>
      </c>
      <c r="AF138" s="11">
        <f>1113238.75+95564.8+282990.85+250000+100000+38784.85+1007350+138980+802000+300000+598000+19500</f>
        <v>4746409.25</v>
      </c>
      <c r="AG138" s="11">
        <f>4746409.25</f>
        <v>4746409.25</v>
      </c>
      <c r="AH138" s="11">
        <f>69649+1113238.75+95564.8+282990.85+250000+100000+38784.85+42806+1007350+138980+47515+802000+300000+620100+19500+77895.7</f>
        <v>5006374.95</v>
      </c>
      <c r="AI138" s="11"/>
      <c r="AJ138" s="11"/>
      <c r="AK138" s="11"/>
      <c r="AL138" s="11">
        <f>5006374.95</f>
        <v>5006374.95</v>
      </c>
      <c r="AM138" s="17">
        <v>3.4000000000000002E-2</v>
      </c>
      <c r="AN138" s="17">
        <f t="shared" si="27"/>
        <v>182070</v>
      </c>
      <c r="AO138" s="11">
        <f>69649+42806+47515+22100</f>
        <v>182070</v>
      </c>
      <c r="AP138" s="11">
        <f>182070</f>
        <v>182070</v>
      </c>
      <c r="AQ138" s="11">
        <f t="shared" si="38"/>
        <v>0</v>
      </c>
      <c r="AR138" s="11"/>
      <c r="AS138" s="11">
        <v>150</v>
      </c>
      <c r="AT138" s="11" t="s">
        <v>948</v>
      </c>
    </row>
    <row r="139" spans="1:46" x14ac:dyDescent="0.15">
      <c r="A139" s="54">
        <v>41334</v>
      </c>
      <c r="B139" s="11" t="s">
        <v>1188</v>
      </c>
      <c r="C139" s="11" t="s">
        <v>198</v>
      </c>
      <c r="D139" s="11" t="s">
        <v>1189</v>
      </c>
      <c r="E139" s="11" t="s">
        <v>900</v>
      </c>
      <c r="F139" s="11" t="s">
        <v>1190</v>
      </c>
      <c r="G139" s="11" t="s">
        <v>1191</v>
      </c>
      <c r="H139" s="11" t="s">
        <v>1192</v>
      </c>
      <c r="I139" s="11" t="s">
        <v>1193</v>
      </c>
      <c r="J139" s="11" t="s">
        <v>1194</v>
      </c>
      <c r="K139" s="11" t="s">
        <v>1001</v>
      </c>
      <c r="L139" s="11"/>
      <c r="M139" s="11">
        <v>10182154.199999999</v>
      </c>
      <c r="N139" s="11"/>
      <c r="O139" s="11"/>
      <c r="P139" s="11"/>
      <c r="Q139" s="15" t="s">
        <v>1195</v>
      </c>
      <c r="R139" s="16">
        <v>41351</v>
      </c>
      <c r="S139" s="11">
        <v>3055</v>
      </c>
      <c r="T139" s="11"/>
      <c r="U139" s="11" t="s">
        <v>906</v>
      </c>
      <c r="V139" s="17">
        <v>0.03</v>
      </c>
      <c r="W139" s="11">
        <f t="shared" si="37"/>
        <v>305464.62599999999</v>
      </c>
      <c r="X139" s="11">
        <f>100000+205465</f>
        <v>305465</v>
      </c>
      <c r="Y139" s="11">
        <f>305465</f>
        <v>305465</v>
      </c>
      <c r="Z139" s="11">
        <v>0</v>
      </c>
      <c r="AA139" s="11">
        <f>1018215+1527323.13+2545538.55+1567304.64</f>
        <v>6658381.3199999994</v>
      </c>
      <c r="AB139" s="11">
        <f>6658381.32</f>
        <v>6658381.3200000003</v>
      </c>
      <c r="AC139" s="11">
        <v>6658381.3199999994</v>
      </c>
      <c r="AD139" s="11">
        <v>6658381.3200000003</v>
      </c>
      <c r="AE139" s="18">
        <f t="shared" si="33"/>
        <v>0.65392658461212461</v>
      </c>
      <c r="AF139" s="11">
        <f>10350+319999+149999+159072+45000+50000+18000+70000+318528+988079+99999+950000+1020000+250000+179447.5+37845+55000+41712.9+60000+230000+44953+200000+220000+33000</f>
        <v>5550984.4000000004</v>
      </c>
      <c r="AG139" s="11">
        <f>5550984.4</f>
        <v>5550984.4000000004</v>
      </c>
      <c r="AH139" s="11">
        <f>10350+355229.24+149999+25455.39+159072+45000+50000+18000+70000+318528+988079+152844.37+950000+1020000+338075.63+179447.5+37845+800000+55000+41712.9+60000+230000+94953+200000+273131.63+33000+1097.1</f>
        <v>6656819.7599999998</v>
      </c>
      <c r="AI139" s="11"/>
      <c r="AJ139" s="11"/>
      <c r="AK139" s="11"/>
      <c r="AL139" s="11">
        <f>66566819.76</f>
        <v>66566819.759999998</v>
      </c>
      <c r="AM139" s="17"/>
      <c r="AN139" s="17">
        <f t="shared" si="27"/>
        <v>0</v>
      </c>
      <c r="AO139" s="11"/>
      <c r="AP139" s="11"/>
      <c r="AQ139" s="11">
        <f t="shared" si="38"/>
        <v>0</v>
      </c>
      <c r="AR139" s="11"/>
      <c r="AS139" s="11">
        <v>123</v>
      </c>
      <c r="AT139" s="11" t="s">
        <v>907</v>
      </c>
    </row>
    <row r="140" spans="1:46" x14ac:dyDescent="0.15">
      <c r="A140" s="54">
        <v>41361</v>
      </c>
      <c r="B140" s="11" t="s">
        <v>1196</v>
      </c>
      <c r="C140" s="11" t="s">
        <v>206</v>
      </c>
      <c r="D140" s="11" t="s">
        <v>1197</v>
      </c>
      <c r="E140" s="11" t="s">
        <v>900</v>
      </c>
      <c r="F140" s="11" t="s">
        <v>1198</v>
      </c>
      <c r="G140" s="11" t="s">
        <v>943</v>
      </c>
      <c r="H140" s="11" t="s">
        <v>977</v>
      </c>
      <c r="I140" s="11" t="s">
        <v>976</v>
      </c>
      <c r="J140" s="11" t="s">
        <v>977</v>
      </c>
      <c r="K140" s="11" t="s">
        <v>894</v>
      </c>
      <c r="L140" s="11"/>
      <c r="M140" s="11">
        <v>35281540.549999997</v>
      </c>
      <c r="N140" s="11">
        <f>214700+873089.19</f>
        <v>1087789.19</v>
      </c>
      <c r="O140" s="11"/>
      <c r="P140" s="11"/>
      <c r="Q140" s="15" t="s">
        <v>1199</v>
      </c>
      <c r="R140" s="16">
        <v>41410</v>
      </c>
      <c r="S140" s="11">
        <v>10585</v>
      </c>
      <c r="T140" s="11"/>
      <c r="U140" s="11" t="s">
        <v>938</v>
      </c>
      <c r="V140" s="17">
        <v>0.03</v>
      </c>
      <c r="W140" s="11">
        <f t="shared" si="37"/>
        <v>1091079.8921999999</v>
      </c>
      <c r="X140" s="11">
        <f>300000+400000+6441+358446</f>
        <v>1064887</v>
      </c>
      <c r="Y140" s="11">
        <f>1064887</f>
        <v>1064887</v>
      </c>
      <c r="Z140" s="11">
        <f t="shared" si="39"/>
        <v>26192.892199999886</v>
      </c>
      <c r="AA140" s="11">
        <f>3061870+3977905+7558668+214700+6514145+3722817</f>
        <v>25050105</v>
      </c>
      <c r="AB140" s="11">
        <f>25050105</f>
        <v>25050105</v>
      </c>
      <c r="AC140" s="11">
        <v>25050105</v>
      </c>
      <c r="AD140" s="11">
        <v>25050105</v>
      </c>
      <c r="AE140" s="18">
        <f t="shared" si="33"/>
        <v>0.68877004825440047</v>
      </c>
      <c r="AF140" s="11">
        <f>1044647+757241.28+499950+1260000+1809096.82+754561.9+1359970+504860+600000+40000+100000+50000+1628000+30000+1823150+100000+200000+1799920+950000+500000+1384935.73+3950.51+1099920+20068.57+100000+199800+499970+605403+158700+3647573.83-50000-399000+400000+57996</f>
        <v>23540714.640000001</v>
      </c>
      <c r="AG140" s="11">
        <f>23540714.64</f>
        <v>23540714.640000001</v>
      </c>
      <c r="AH140" s="11">
        <f>1148751+757241.28+635199+1260000+1809096.82+754561.9+650000+1616965+504860+600000+40000+100000+50000+1628000+30000+1823150+100000+200000+1028701+1950000+500000+1384935.73+3950.51+1099920+20068.57+100000+199800+499970+605403+158700+3774149.83-50000-399000+400000+57996</f>
        <v>25042419.640000001</v>
      </c>
      <c r="AI140" s="11"/>
      <c r="AJ140" s="11"/>
      <c r="AK140" s="11"/>
      <c r="AL140" s="11">
        <f>25042419.64</f>
        <v>25042419.640000001</v>
      </c>
      <c r="AM140" s="17">
        <v>3.4000000000000002E-2</v>
      </c>
      <c r="AN140" s="17">
        <f t="shared" si="27"/>
        <v>851703.57000000007</v>
      </c>
      <c r="AO140" s="11">
        <f>104104+135249+256995+7300+221481+126576</f>
        <v>851705</v>
      </c>
      <c r="AP140" s="11">
        <f>851705</f>
        <v>851705</v>
      </c>
      <c r="AQ140" s="11">
        <v>0</v>
      </c>
      <c r="AR140" s="11"/>
      <c r="AS140" s="11">
        <v>180</v>
      </c>
      <c r="AT140" s="11" t="s">
        <v>1200</v>
      </c>
    </row>
    <row r="141" spans="1:46" x14ac:dyDescent="0.15">
      <c r="A141" s="54">
        <v>41361</v>
      </c>
      <c r="B141" s="11" t="s">
        <v>1201</v>
      </c>
      <c r="C141" s="11" t="s">
        <v>202</v>
      </c>
      <c r="D141" s="11" t="s">
        <v>1202</v>
      </c>
      <c r="E141" s="11" t="s">
        <v>1203</v>
      </c>
      <c r="F141" s="11" t="s">
        <v>1204</v>
      </c>
      <c r="G141" s="11" t="s">
        <v>943</v>
      </c>
      <c r="H141" s="11" t="s">
        <v>1205</v>
      </c>
      <c r="I141" s="11" t="s">
        <v>1206</v>
      </c>
      <c r="J141" s="11" t="s">
        <v>1013</v>
      </c>
      <c r="K141" s="11" t="s">
        <v>1207</v>
      </c>
      <c r="L141" s="11"/>
      <c r="M141" s="11">
        <v>1995000</v>
      </c>
      <c r="N141" s="11"/>
      <c r="O141" s="11"/>
      <c r="P141" s="11"/>
      <c r="Q141" s="15" t="s">
        <v>1208</v>
      </c>
      <c r="R141" s="16">
        <v>41429</v>
      </c>
      <c r="S141" s="11">
        <v>599</v>
      </c>
      <c r="T141" s="11"/>
      <c r="U141" s="11"/>
      <c r="V141" s="17">
        <v>3.5999999999999997E-2</v>
      </c>
      <c r="W141" s="11">
        <f t="shared" si="37"/>
        <v>71820</v>
      </c>
      <c r="X141" s="11"/>
      <c r="Y141" s="11"/>
      <c r="Z141" s="11">
        <f t="shared" si="39"/>
        <v>71820</v>
      </c>
      <c r="AA141" s="11"/>
      <c r="AB141" s="11"/>
      <c r="AC141" s="11">
        <v>0</v>
      </c>
      <c r="AD141" s="11">
        <v>0</v>
      </c>
      <c r="AE141" s="18"/>
      <c r="AF141" s="11"/>
      <c r="AG141" s="11"/>
      <c r="AH141" s="11"/>
      <c r="AI141" s="11"/>
      <c r="AJ141" s="11"/>
      <c r="AK141" s="11"/>
      <c r="AL141" s="11"/>
      <c r="AM141" s="17">
        <v>3.4000000000000002E-2</v>
      </c>
      <c r="AN141" s="17">
        <f t="shared" si="27"/>
        <v>0</v>
      </c>
      <c r="AO141" s="11"/>
      <c r="AP141" s="11"/>
      <c r="AQ141" s="11">
        <f t="shared" si="38"/>
        <v>0</v>
      </c>
      <c r="AR141" s="11"/>
      <c r="AS141" s="11">
        <v>26</v>
      </c>
      <c r="AT141" s="11" t="s">
        <v>948</v>
      </c>
    </row>
    <row r="142" spans="1:46" x14ac:dyDescent="0.15">
      <c r="A142" s="54">
        <v>41361</v>
      </c>
      <c r="B142" s="11" t="s">
        <v>1209</v>
      </c>
      <c r="C142" s="11" t="s">
        <v>204</v>
      </c>
      <c r="D142" s="11" t="s">
        <v>1210</v>
      </c>
      <c r="E142" s="11" t="s">
        <v>900</v>
      </c>
      <c r="F142" s="11" t="s">
        <v>1211</v>
      </c>
      <c r="G142" s="11" t="s">
        <v>943</v>
      </c>
      <c r="H142" s="11" t="s">
        <v>1212</v>
      </c>
      <c r="I142" s="11" t="s">
        <v>1213</v>
      </c>
      <c r="J142" s="11" t="s">
        <v>1214</v>
      </c>
      <c r="K142" s="11" t="s">
        <v>1207</v>
      </c>
      <c r="L142" s="11"/>
      <c r="M142" s="11">
        <v>9000000</v>
      </c>
      <c r="N142" s="11"/>
      <c r="O142" s="11"/>
      <c r="P142" s="11"/>
      <c r="Q142" s="15" t="s">
        <v>1215</v>
      </c>
      <c r="R142" s="16">
        <v>41384</v>
      </c>
      <c r="S142" s="11">
        <v>2700</v>
      </c>
      <c r="T142" s="11"/>
      <c r="U142" s="11" t="s">
        <v>1216</v>
      </c>
      <c r="V142" s="17">
        <v>0.03</v>
      </c>
      <c r="W142" s="11">
        <f t="shared" si="37"/>
        <v>270000</v>
      </c>
      <c r="X142" s="11">
        <f>50000+50000+100000+10000</f>
        <v>210000</v>
      </c>
      <c r="Y142" s="11">
        <f>210000</f>
        <v>210000</v>
      </c>
      <c r="Z142" s="11">
        <f t="shared" si="39"/>
        <v>60000</v>
      </c>
      <c r="AA142" s="11">
        <f>1000000+1000000+2000000+5000000</f>
        <v>9000000</v>
      </c>
      <c r="AB142" s="11">
        <f>9000000</f>
        <v>9000000</v>
      </c>
      <c r="AC142" s="11">
        <v>4800000</v>
      </c>
      <c r="AD142" s="11">
        <v>4800000</v>
      </c>
      <c r="AE142" s="18">
        <f t="shared" ref="AE142:AE147" si="40">AC142/(M142+N142)</f>
        <v>0.53333333333333333</v>
      </c>
      <c r="AF142" s="11">
        <f>367213.64+288736.55+1098080+803000+14000</f>
        <v>2571030.19</v>
      </c>
      <c r="AG142" s="11">
        <f>2571030.19</f>
        <v>2571030.19</v>
      </c>
      <c r="AH142" s="11">
        <f>966000+963844.72+27454+2008701.28+820000+14000</f>
        <v>4800000</v>
      </c>
      <c r="AI142" s="11"/>
      <c r="AJ142" s="11"/>
      <c r="AK142" s="11"/>
      <c r="AL142" s="11">
        <f>4800000</f>
        <v>4800000</v>
      </c>
      <c r="AM142" s="17">
        <v>3.4000000000000002E-2</v>
      </c>
      <c r="AN142" s="17">
        <f t="shared" si="27"/>
        <v>306000</v>
      </c>
      <c r="AO142" s="11">
        <f>34000+34000+68000+170000</f>
        <v>306000</v>
      </c>
      <c r="AP142" s="11">
        <f>306000</f>
        <v>306000</v>
      </c>
      <c r="AQ142" s="11">
        <f t="shared" si="38"/>
        <v>0</v>
      </c>
      <c r="AR142" s="11"/>
      <c r="AS142" s="11">
        <v>10</v>
      </c>
      <c r="AT142" s="11" t="s">
        <v>1217</v>
      </c>
    </row>
    <row r="143" spans="1:46" x14ac:dyDescent="0.15">
      <c r="A143" s="54">
        <v>41377</v>
      </c>
      <c r="B143" s="11" t="s">
        <v>1218</v>
      </c>
      <c r="C143" s="11" t="s">
        <v>214</v>
      </c>
      <c r="D143" s="11" t="s">
        <v>1219</v>
      </c>
      <c r="E143" s="11" t="s">
        <v>1220</v>
      </c>
      <c r="F143" s="11" t="s">
        <v>1221</v>
      </c>
      <c r="G143" s="11" t="s">
        <v>943</v>
      </c>
      <c r="H143" s="11" t="s">
        <v>1222</v>
      </c>
      <c r="I143" s="11" t="s">
        <v>1223</v>
      </c>
      <c r="J143" s="11" t="s">
        <v>1224</v>
      </c>
      <c r="K143" s="11" t="s">
        <v>894</v>
      </c>
      <c r="L143" s="11"/>
      <c r="M143" s="11">
        <v>2600000</v>
      </c>
      <c r="N143" s="11"/>
      <c r="O143" s="11"/>
      <c r="P143" s="11"/>
      <c r="Q143" s="15" t="s">
        <v>1225</v>
      </c>
      <c r="R143" s="16">
        <v>41389</v>
      </c>
      <c r="S143" s="11">
        <v>780</v>
      </c>
      <c r="T143" s="11"/>
      <c r="U143" s="11" t="s">
        <v>906</v>
      </c>
      <c r="V143" s="17">
        <v>3.5999999999999997E-2</v>
      </c>
      <c r="W143" s="11">
        <f t="shared" si="37"/>
        <v>93600</v>
      </c>
      <c r="X143" s="11">
        <f>93600</f>
        <v>93600</v>
      </c>
      <c r="Y143" s="11">
        <f>93600</f>
        <v>93600</v>
      </c>
      <c r="Z143" s="11">
        <f t="shared" si="39"/>
        <v>0</v>
      </c>
      <c r="AA143" s="11">
        <f>780000+780000+650000+684471</f>
        <v>2894471</v>
      </c>
      <c r="AB143" s="11">
        <f>2894471</f>
        <v>2894471</v>
      </c>
      <c r="AC143" s="11">
        <v>2894471</v>
      </c>
      <c r="AD143" s="11">
        <v>2894471</v>
      </c>
      <c r="AE143" s="18">
        <f t="shared" si="40"/>
        <v>1.1132580769230769</v>
      </c>
      <c r="AF143" s="11">
        <f>100000+200000+899909.1+200000+700023.58+200000+200000+5681+200000</f>
        <v>2705613.68</v>
      </c>
      <c r="AG143" s="11">
        <f>2705613.68</f>
        <v>2705613.68</v>
      </c>
      <c r="AH143" s="11">
        <f>126520+100000+226520+899909.1+200000-100000+22100+700023.58+23272+200000+200000+5681+200000</f>
        <v>2804025.68</v>
      </c>
      <c r="AI143" s="11"/>
      <c r="AJ143" s="11"/>
      <c r="AK143" s="11"/>
      <c r="AL143" s="11">
        <f>2804025.68</f>
        <v>2804025.68</v>
      </c>
      <c r="AM143" s="17">
        <v>3.4000000000000002E-2</v>
      </c>
      <c r="AN143" s="17">
        <f t="shared" si="27"/>
        <v>98412.01400000001</v>
      </c>
      <c r="AO143" s="11">
        <f>26520+26520+22100+23272</f>
        <v>98412</v>
      </c>
      <c r="AP143" s="11">
        <f>98412</f>
        <v>98412</v>
      </c>
      <c r="AQ143" s="11">
        <v>0</v>
      </c>
      <c r="AR143" s="11"/>
      <c r="AS143" s="11"/>
      <c r="AT143" s="11"/>
    </row>
    <row r="144" spans="1:46" x14ac:dyDescent="0.15">
      <c r="A144" s="54">
        <v>41365</v>
      </c>
      <c r="B144" s="11" t="s">
        <v>1226</v>
      </c>
      <c r="C144" s="11" t="s">
        <v>1227</v>
      </c>
      <c r="D144" s="11" t="s">
        <v>1228</v>
      </c>
      <c r="E144" s="11" t="s">
        <v>900</v>
      </c>
      <c r="F144" s="11" t="s">
        <v>1229</v>
      </c>
      <c r="G144" s="11" t="s">
        <v>943</v>
      </c>
      <c r="H144" s="11" t="s">
        <v>1205</v>
      </c>
      <c r="I144" s="11" t="s">
        <v>1014</v>
      </c>
      <c r="J144" s="11" t="s">
        <v>1013</v>
      </c>
      <c r="K144" s="11" t="s">
        <v>894</v>
      </c>
      <c r="L144" s="11"/>
      <c r="M144" s="11">
        <v>12491680</v>
      </c>
      <c r="N144" s="11"/>
      <c r="O144" s="11"/>
      <c r="P144" s="11"/>
      <c r="Q144" s="15" t="s">
        <v>1230</v>
      </c>
      <c r="R144" s="16">
        <v>41429</v>
      </c>
      <c r="S144" s="11">
        <v>3748</v>
      </c>
      <c r="T144" s="11"/>
      <c r="U144" s="11" t="s">
        <v>985</v>
      </c>
      <c r="V144" s="17">
        <v>0.03</v>
      </c>
      <c r="W144" s="11">
        <f>(M144+N144)*V144</f>
        <v>374750.39999999997</v>
      </c>
      <c r="X144" s="11">
        <f>250000+124750</f>
        <v>374750</v>
      </c>
      <c r="Y144" s="11">
        <f>374750</f>
        <v>374750</v>
      </c>
      <c r="Z144" s="11">
        <v>0</v>
      </c>
      <c r="AA144" s="11">
        <f>3000000+2500000+2000000+1000000+1000000+1000000+700000</f>
        <v>11200000</v>
      </c>
      <c r="AB144" s="11">
        <f>11200000</f>
        <v>11200000</v>
      </c>
      <c r="AC144" s="11">
        <v>11200000</v>
      </c>
      <c r="AD144" s="11">
        <v>11200000</v>
      </c>
      <c r="AE144" s="18">
        <f t="shared" si="40"/>
        <v>0.89659677481331579</v>
      </c>
      <c r="AF144" s="11">
        <f>1965118.15+144967.59+649995+2926492+299997+157039.77+26088+850006+590000+299997+50000+500000+350000+150000+960000+300000+72000+288000</f>
        <v>10579700.51</v>
      </c>
      <c r="AG144" s="11">
        <f>10291700.51+288000</f>
        <v>10579700.51</v>
      </c>
      <c r="AH144" s="11">
        <f>2067118.15+194967.59+649995+1934992+299997+157039.77+26088+918006+250000+590000+299997+50000+34000+500000+350000+150000+994000+1000000+23800+334000+72000+288000</f>
        <v>11184000.51</v>
      </c>
      <c r="AI144" s="11"/>
      <c r="AJ144" s="11"/>
      <c r="AK144" s="11"/>
      <c r="AL144" s="11">
        <f>10896000.51+288000</f>
        <v>11184000.51</v>
      </c>
      <c r="AM144" s="17">
        <v>3.4000000000000002E-2</v>
      </c>
      <c r="AN144" s="17">
        <f t="shared" si="27"/>
        <v>380800</v>
      </c>
      <c r="AO144" s="11">
        <f>102000+85000+68000+34000+34000+34000+23800</f>
        <v>380800</v>
      </c>
      <c r="AP144" s="11">
        <f>380800</f>
        <v>380800</v>
      </c>
      <c r="AQ144" s="11">
        <v>0</v>
      </c>
      <c r="AR144" s="11"/>
      <c r="AS144" s="11">
        <v>145</v>
      </c>
      <c r="AT144" s="11" t="s">
        <v>971</v>
      </c>
    </row>
    <row r="145" spans="1:46" x14ac:dyDescent="0.15">
      <c r="A145" s="54">
        <v>41365</v>
      </c>
      <c r="B145" s="11" t="s">
        <v>1231</v>
      </c>
      <c r="C145" s="11" t="s">
        <v>212</v>
      </c>
      <c r="D145" s="11" t="s">
        <v>1232</v>
      </c>
      <c r="E145" s="11" t="s">
        <v>900</v>
      </c>
      <c r="F145" s="11" t="s">
        <v>1233</v>
      </c>
      <c r="G145" s="11" t="s">
        <v>943</v>
      </c>
      <c r="H145" s="11" t="s">
        <v>1234</v>
      </c>
      <c r="I145" s="11" t="s">
        <v>1235</v>
      </c>
      <c r="J145" s="11" t="s">
        <v>1236</v>
      </c>
      <c r="K145" s="11" t="s">
        <v>1237</v>
      </c>
      <c r="L145" s="11"/>
      <c r="M145" s="11">
        <v>1195559</v>
      </c>
      <c r="N145" s="11">
        <f>934441</f>
        <v>934441</v>
      </c>
      <c r="O145" s="11"/>
      <c r="P145" s="11"/>
      <c r="Q145" s="15" t="s">
        <v>1238</v>
      </c>
      <c r="R145" s="16">
        <v>41410</v>
      </c>
      <c r="S145" s="11">
        <v>359</v>
      </c>
      <c r="T145" s="11"/>
      <c r="U145" s="11" t="s">
        <v>1239</v>
      </c>
      <c r="V145" s="17">
        <v>3.5999999999999997E-2</v>
      </c>
      <c r="W145" s="11">
        <f>(M145+N145)*V145</f>
        <v>76680</v>
      </c>
      <c r="X145" s="11">
        <f>76680</f>
        <v>76680</v>
      </c>
      <c r="Y145" s="11">
        <f>76680</f>
        <v>76680</v>
      </c>
      <c r="Z145" s="11">
        <v>0</v>
      </c>
      <c r="AA145" s="11">
        <f>1065000+426000+532500+106500</f>
        <v>2130000</v>
      </c>
      <c r="AB145" s="11">
        <f>2130000</f>
        <v>2130000</v>
      </c>
      <c r="AC145" s="11">
        <v>2023500</v>
      </c>
      <c r="AD145" s="11">
        <v>2023500</v>
      </c>
      <c r="AE145" s="18">
        <f t="shared" si="40"/>
        <v>0.95</v>
      </c>
      <c r="AF145" s="11">
        <f>250000+50000+200000+200000+500000</f>
        <v>1200000</v>
      </c>
      <c r="AG145" s="11">
        <f>1200000</f>
        <v>1200000</v>
      </c>
      <c r="AH145" s="11">
        <f>999648.8+50000+200000+200000+18105+3621+500000</f>
        <v>1971374.8</v>
      </c>
      <c r="AI145" s="11"/>
      <c r="AJ145" s="11"/>
      <c r="AK145" s="11"/>
      <c r="AL145" s="11">
        <f>1971374.8</f>
        <v>1971374.8</v>
      </c>
      <c r="AM145" s="17">
        <v>3.4000000000000002E-2</v>
      </c>
      <c r="AN145" s="17">
        <f t="shared" si="27"/>
        <v>72420</v>
      </c>
      <c r="AO145" s="11">
        <f>36210+14484+18105+3621</f>
        <v>72420</v>
      </c>
      <c r="AP145" s="11">
        <f>72420</f>
        <v>72420</v>
      </c>
      <c r="AQ145" s="11">
        <v>0</v>
      </c>
      <c r="AR145" s="11"/>
      <c r="AS145" s="11">
        <v>16</v>
      </c>
      <c r="AT145" s="11" t="s">
        <v>1240</v>
      </c>
    </row>
    <row r="146" spans="1:46" x14ac:dyDescent="0.15">
      <c r="A146" s="54">
        <v>41396</v>
      </c>
      <c r="B146" s="11" t="s">
        <v>1241</v>
      </c>
      <c r="C146" s="11" t="s">
        <v>225</v>
      </c>
      <c r="D146" s="11" t="s">
        <v>1242</v>
      </c>
      <c r="E146" s="11" t="s">
        <v>1243</v>
      </c>
      <c r="F146" s="11" t="s">
        <v>1244</v>
      </c>
      <c r="G146" s="11" t="s">
        <v>1245</v>
      </c>
      <c r="H146" s="11" t="s">
        <v>1246</v>
      </c>
      <c r="I146" s="11" t="s">
        <v>1247</v>
      </c>
      <c r="J146" s="11" t="s">
        <v>1248</v>
      </c>
      <c r="K146" s="11" t="s">
        <v>894</v>
      </c>
      <c r="L146" s="11"/>
      <c r="M146" s="11">
        <v>1258749</v>
      </c>
      <c r="N146" s="11"/>
      <c r="O146" s="11"/>
      <c r="P146" s="11"/>
      <c r="Q146" s="15" t="s">
        <v>1249</v>
      </c>
      <c r="R146" s="16">
        <v>41410</v>
      </c>
      <c r="S146" s="11">
        <v>378</v>
      </c>
      <c r="T146" s="11"/>
      <c r="U146" s="11" t="s">
        <v>938</v>
      </c>
      <c r="V146" s="17">
        <v>3.5999999999999997E-2</v>
      </c>
      <c r="W146" s="11">
        <f t="shared" ref="W146:W153" si="41">(M146+N146)*V146</f>
        <v>45314.964</v>
      </c>
      <c r="X146" s="11">
        <f>45315</f>
        <v>45315</v>
      </c>
      <c r="Y146" s="11">
        <f>45315</f>
        <v>45315</v>
      </c>
      <c r="Z146" s="11">
        <v>0</v>
      </c>
      <c r="AA146" s="11">
        <f>125000+250000+377000+200000+100000</f>
        <v>1052000</v>
      </c>
      <c r="AB146" s="11">
        <f>1052000</f>
        <v>1052000</v>
      </c>
      <c r="AC146" s="11">
        <v>1052000</v>
      </c>
      <c r="AD146" s="11">
        <v>1052000</v>
      </c>
      <c r="AE146" s="18">
        <f t="shared" si="40"/>
        <v>0.83575041569049902</v>
      </c>
      <c r="AF146" s="11">
        <f>150000+14831+309969+139986+194500+80000+120000</f>
        <v>1009286</v>
      </c>
      <c r="AG146" s="11">
        <f>1009286</f>
        <v>1009286</v>
      </c>
      <c r="AH146" s="11">
        <f>12750+150000+12818+14831+309969+139986+6800+194500+80000+3400+120000</f>
        <v>1045054</v>
      </c>
      <c r="AI146" s="11"/>
      <c r="AJ146" s="11"/>
      <c r="AK146" s="11"/>
      <c r="AL146" s="11">
        <f>1045054</f>
        <v>1045054</v>
      </c>
      <c r="AM146" s="17">
        <v>3.4000000000000002E-2</v>
      </c>
      <c r="AN146" s="17">
        <f t="shared" si="27"/>
        <v>35768</v>
      </c>
      <c r="AO146" s="11">
        <f>4250+8500+12818+6800+3400</f>
        <v>35768</v>
      </c>
      <c r="AP146" s="11">
        <f>35768</f>
        <v>35768</v>
      </c>
      <c r="AQ146" s="11">
        <f>AN146-AP146</f>
        <v>0</v>
      </c>
      <c r="AR146" s="11"/>
      <c r="AS146" s="11"/>
      <c r="AT146" s="11"/>
    </row>
    <row r="147" spans="1:46" x14ac:dyDescent="0.15">
      <c r="A147" s="54">
        <v>41395</v>
      </c>
      <c r="B147" s="11" t="s">
        <v>1250</v>
      </c>
      <c r="C147" s="11" t="s">
        <v>218</v>
      </c>
      <c r="D147" s="11" t="s">
        <v>1251</v>
      </c>
      <c r="E147" s="11" t="s">
        <v>900</v>
      </c>
      <c r="F147" s="11" t="s">
        <v>1252</v>
      </c>
      <c r="G147" s="11" t="s">
        <v>1253</v>
      </c>
      <c r="H147" s="11" t="s">
        <v>1254</v>
      </c>
      <c r="I147" s="11" t="s">
        <v>1255</v>
      </c>
      <c r="J147" s="11" t="s">
        <v>1044</v>
      </c>
      <c r="K147" s="11" t="s">
        <v>894</v>
      </c>
      <c r="L147" s="11"/>
      <c r="M147" s="11">
        <v>2894611</v>
      </c>
      <c r="N147" s="11"/>
      <c r="O147" s="11"/>
      <c r="P147" s="11"/>
      <c r="Q147" s="15" t="s">
        <v>1256</v>
      </c>
      <c r="R147" s="16">
        <v>41463</v>
      </c>
      <c r="S147" s="11">
        <v>869</v>
      </c>
      <c r="T147" s="11"/>
      <c r="U147" s="11" t="s">
        <v>1257</v>
      </c>
      <c r="V147" s="17">
        <v>3.5999999999999997E-2</v>
      </c>
      <c r="W147" s="11">
        <f t="shared" si="41"/>
        <v>104205.996</v>
      </c>
      <c r="X147" s="11">
        <f>104206</f>
        <v>104206</v>
      </c>
      <c r="Y147" s="11">
        <f>104206</f>
        <v>104206</v>
      </c>
      <c r="Z147" s="11">
        <v>0</v>
      </c>
      <c r="AA147" s="11">
        <f>868383.3+330000+330000</f>
        <v>1528383.3</v>
      </c>
      <c r="AB147" s="11">
        <v>1528383.3</v>
      </c>
      <c r="AC147" s="11">
        <v>1528383.3</v>
      </c>
      <c r="AD147" s="11">
        <v>1528383.3</v>
      </c>
      <c r="AE147" s="18">
        <f t="shared" si="40"/>
        <v>0.52800991221272908</v>
      </c>
      <c r="AF147" s="11">
        <f>756000+400000+320000</f>
        <v>1476000</v>
      </c>
      <c r="AG147" s="11">
        <f>1476000</f>
        <v>1476000</v>
      </c>
      <c r="AH147" s="11">
        <f>756000+400000+51965+320000</f>
        <v>1527965</v>
      </c>
      <c r="AI147" s="11"/>
      <c r="AJ147" s="11"/>
      <c r="AK147" s="11"/>
      <c r="AL147" s="11">
        <f>1527965</f>
        <v>1527965</v>
      </c>
      <c r="AM147" s="17">
        <v>3.4000000000000002E-2</v>
      </c>
      <c r="AN147" s="17">
        <f t="shared" si="27"/>
        <v>51965.032200000009</v>
      </c>
      <c r="AO147" s="11">
        <f>29525+11220+11220</f>
        <v>51965</v>
      </c>
      <c r="AP147" s="11">
        <f>51965</f>
        <v>51965</v>
      </c>
      <c r="AQ147" s="11">
        <v>0</v>
      </c>
      <c r="AR147" s="11"/>
      <c r="AS147" s="11"/>
      <c r="AT147" s="11"/>
    </row>
    <row r="148" spans="1:46" x14ac:dyDescent="0.15">
      <c r="A148" s="54">
        <v>41395</v>
      </c>
      <c r="B148" s="11" t="s">
        <v>1258</v>
      </c>
      <c r="C148" s="11" t="s">
        <v>220</v>
      </c>
      <c r="D148" s="11" t="s">
        <v>1259</v>
      </c>
      <c r="E148" s="11" t="s">
        <v>900</v>
      </c>
      <c r="F148" s="11" t="s">
        <v>1260</v>
      </c>
      <c r="G148" s="11" t="s">
        <v>983</v>
      </c>
      <c r="H148" s="11" t="s">
        <v>1261</v>
      </c>
      <c r="I148" s="11" t="s">
        <v>1247</v>
      </c>
      <c r="J148" s="11" t="s">
        <v>1248</v>
      </c>
      <c r="K148" s="11" t="s">
        <v>526</v>
      </c>
      <c r="L148" s="11"/>
      <c r="M148" s="11">
        <v>1691837.01</v>
      </c>
      <c r="N148" s="11"/>
      <c r="O148" s="11"/>
      <c r="P148" s="11"/>
      <c r="Q148" s="15" t="s">
        <v>1262</v>
      </c>
      <c r="R148" s="16">
        <v>41431</v>
      </c>
      <c r="S148" s="11">
        <v>508</v>
      </c>
      <c r="T148" s="11"/>
      <c r="U148" s="11" t="s">
        <v>938</v>
      </c>
      <c r="V148" s="17">
        <v>3.5999999999999997E-2</v>
      </c>
      <c r="W148" s="11">
        <f t="shared" si="41"/>
        <v>60906.132359999996</v>
      </c>
      <c r="X148" s="11">
        <f>60906</f>
        <v>60906</v>
      </c>
      <c r="Y148" s="11">
        <f>60906</f>
        <v>60906</v>
      </c>
      <c r="Z148" s="11">
        <v>0</v>
      </c>
      <c r="AA148" s="11">
        <f>761326+507551+338367+285000</f>
        <v>1892244</v>
      </c>
      <c r="AB148" s="11">
        <f>1892244</f>
        <v>1892244</v>
      </c>
      <c r="AC148" s="11">
        <v>1892244</v>
      </c>
      <c r="AD148" s="11">
        <v>1892244</v>
      </c>
      <c r="AE148" s="18">
        <f t="shared" ref="AE148:AE159" si="42">AD148/(M148+N148)</f>
        <v>1.118455258287558</v>
      </c>
      <c r="AF148" s="11">
        <f>300000+354500+160401.7+290841.6+109989+309969+43938.7+100000+60000</f>
        <v>1729639.9999999998</v>
      </c>
      <c r="AG148" s="11">
        <f>1729640</f>
        <v>1729640</v>
      </c>
      <c r="AH148" s="11">
        <f>327915+354500+17257+160401.7+290841.6+109989+321473+9690+43938.7+100000+60000</f>
        <v>1796005.9999999998</v>
      </c>
      <c r="AI148" s="11"/>
      <c r="AJ148" s="11"/>
      <c r="AK148" s="11"/>
      <c r="AL148" s="11">
        <f>1796006</f>
        <v>1796006</v>
      </c>
      <c r="AM148" s="17">
        <v>3.4000000000000002E-2</v>
      </c>
      <c r="AN148" s="17">
        <f t="shared" si="27"/>
        <v>64336.296000000002</v>
      </c>
      <c r="AO148" s="11">
        <f>25885+17257+11504+9690</f>
        <v>64336</v>
      </c>
      <c r="AP148" s="11">
        <f>64336</f>
        <v>64336</v>
      </c>
      <c r="AQ148" s="11">
        <v>0</v>
      </c>
      <c r="AR148" s="11"/>
      <c r="AS148" s="11">
        <v>15</v>
      </c>
      <c r="AT148" s="11" t="s">
        <v>1263</v>
      </c>
    </row>
    <row r="149" spans="1:46" x14ac:dyDescent="0.15">
      <c r="A149" s="54">
        <v>41412</v>
      </c>
      <c r="B149" s="11" t="s">
        <v>1264</v>
      </c>
      <c r="C149" s="11" t="s">
        <v>227</v>
      </c>
      <c r="D149" s="11" t="s">
        <v>1265</v>
      </c>
      <c r="E149" s="11" t="s">
        <v>900</v>
      </c>
      <c r="F149" s="11" t="s">
        <v>1030</v>
      </c>
      <c r="G149" s="11" t="s">
        <v>1266</v>
      </c>
      <c r="H149" s="11" t="s">
        <v>1032</v>
      </c>
      <c r="I149" s="11" t="s">
        <v>1033</v>
      </c>
      <c r="J149" s="11" t="s">
        <v>1267</v>
      </c>
      <c r="K149" s="11" t="s">
        <v>1268</v>
      </c>
      <c r="L149" s="11"/>
      <c r="M149" s="11">
        <v>6498959</v>
      </c>
      <c r="N149" s="11"/>
      <c r="O149" s="11"/>
      <c r="P149" s="11"/>
      <c r="Q149" s="15"/>
      <c r="R149" s="16"/>
      <c r="S149" s="11"/>
      <c r="T149" s="11"/>
      <c r="U149" s="11" t="s">
        <v>1269</v>
      </c>
      <c r="V149" s="17">
        <v>0.03</v>
      </c>
      <c r="W149" s="11">
        <f t="shared" si="41"/>
        <v>194968.77</v>
      </c>
      <c r="X149" s="11">
        <f>70000+124969</f>
        <v>194969</v>
      </c>
      <c r="Y149" s="11">
        <f>194969</f>
        <v>194969</v>
      </c>
      <c r="Z149" s="11">
        <v>0</v>
      </c>
      <c r="AA149" s="11">
        <f>3335989.4+769844.1+1059365.7</f>
        <v>5165199.2</v>
      </c>
      <c r="AB149" s="11">
        <f>5165199.2</f>
        <v>5165199.2</v>
      </c>
      <c r="AC149" s="11">
        <v>4941545.5</v>
      </c>
      <c r="AD149" s="11">
        <v>4941545.5</v>
      </c>
      <c r="AE149" s="18">
        <f t="shared" si="42"/>
        <v>0.76035954373615833</v>
      </c>
      <c r="AF149" s="11">
        <f>199998+250000+1726769.35+399200+299400+100000+245998+100000+99990+200000+100000+584950+109993.85+196120</f>
        <v>4612419.1999999993</v>
      </c>
      <c r="AG149" s="11">
        <f>4612419.2</f>
        <v>4612419.2</v>
      </c>
      <c r="AH149" s="11">
        <f>206496+350000+1839859.39+399200+325497.71+100000+245998+100000+99990+200000+40000+100000+584950+109993.85+232032.5</f>
        <v>4934017.4499999993</v>
      </c>
      <c r="AI149" s="11"/>
      <c r="AJ149" s="11"/>
      <c r="AK149" s="11"/>
      <c r="AL149" s="11">
        <f>4934017.45</f>
        <v>4934017.45</v>
      </c>
      <c r="AM149" s="17">
        <v>3.7400000000000003E-2</v>
      </c>
      <c r="AN149" s="17">
        <f t="shared" si="27"/>
        <v>193178.45008000001</v>
      </c>
      <c r="AO149" s="11">
        <v>193178.45</v>
      </c>
      <c r="AP149" s="11">
        <f>193178.45</f>
        <v>193178.45</v>
      </c>
      <c r="AQ149" s="11">
        <f t="shared" ref="AQ149" si="43">AN149-AP149</f>
        <v>7.9999997979030013E-5</v>
      </c>
      <c r="AR149" s="11"/>
      <c r="AS149" s="11">
        <v>80</v>
      </c>
      <c r="AT149" s="11" t="s">
        <v>948</v>
      </c>
    </row>
    <row r="150" spans="1:46" x14ac:dyDescent="0.15">
      <c r="A150" s="54">
        <v>41417</v>
      </c>
      <c r="B150" s="11" t="s">
        <v>1270</v>
      </c>
      <c r="C150" s="11" t="s">
        <v>229</v>
      </c>
      <c r="D150" s="11" t="s">
        <v>1271</v>
      </c>
      <c r="E150" s="11" t="s">
        <v>900</v>
      </c>
      <c r="F150" s="11" t="s">
        <v>1272</v>
      </c>
      <c r="G150" s="11" t="s">
        <v>943</v>
      </c>
      <c r="H150" s="11" t="s">
        <v>1103</v>
      </c>
      <c r="I150" s="11" t="s">
        <v>1273</v>
      </c>
      <c r="J150" s="11" t="s">
        <v>1105</v>
      </c>
      <c r="K150" s="11" t="s">
        <v>894</v>
      </c>
      <c r="L150" s="11"/>
      <c r="M150" s="11">
        <v>6000000</v>
      </c>
      <c r="N150" s="11">
        <v>2023835.04</v>
      </c>
      <c r="O150" s="11"/>
      <c r="P150" s="11"/>
      <c r="Q150" s="15" t="s">
        <v>1274</v>
      </c>
      <c r="R150" s="16">
        <v>41424</v>
      </c>
      <c r="S150" s="11">
        <v>1800</v>
      </c>
      <c r="T150" s="11"/>
      <c r="U150" s="11" t="s">
        <v>906</v>
      </c>
      <c r="V150" s="17">
        <v>0.03</v>
      </c>
      <c r="W150" s="11">
        <f t="shared" si="41"/>
        <v>240715.05119999999</v>
      </c>
      <c r="X150" s="11">
        <f>180000+20715+40000</f>
        <v>240715</v>
      </c>
      <c r="Y150" s="11">
        <f>240715</f>
        <v>240715</v>
      </c>
      <c r="Z150" s="11">
        <v>0</v>
      </c>
      <c r="AA150" s="11">
        <f>3600000+600000+600000+600000+2623835.04</f>
        <v>8023835.04</v>
      </c>
      <c r="AB150" s="11">
        <f>8023835.04</f>
        <v>8023835.04</v>
      </c>
      <c r="AC150" s="11">
        <v>8023835.04</v>
      </c>
      <c r="AD150" s="11">
        <v>8023835.04</v>
      </c>
      <c r="AE150" s="18">
        <f t="shared" si="42"/>
        <v>1</v>
      </c>
      <c r="AF150" s="11">
        <f>1805292+320140.05+398998+799938+50000+567998+100000+302649+299990+499950+56400+9900+1000000+389990+218559.7+160000+500000</f>
        <v>7479804.75</v>
      </c>
      <c r="AG150" s="11">
        <f>7479804.75</f>
        <v>7479804.75</v>
      </c>
      <c r="AH150" s="11">
        <f>1927692+510140.05+398998-190000+799938+20400+567998+20400+20400+150000+302649+299990-2650+499950+56400+9900+1089210+389990+218559.7+160000+500000</f>
        <v>7749964.75</v>
      </c>
      <c r="AI150" s="11"/>
      <c r="AJ150" s="11"/>
      <c r="AK150" s="11"/>
      <c r="AL150" s="11">
        <f>7749964.75</f>
        <v>7749964.75</v>
      </c>
      <c r="AM150" s="17">
        <v>3.4000000000000002E-2</v>
      </c>
      <c r="AN150" s="17">
        <f t="shared" si="27"/>
        <v>272810.39136000001</v>
      </c>
      <c r="AO150" s="11">
        <f>122400+20400+20400+20400+89210</f>
        <v>272810</v>
      </c>
      <c r="AP150" s="11">
        <f>272810</f>
        <v>272810</v>
      </c>
      <c r="AQ150" s="11">
        <v>0</v>
      </c>
      <c r="AR150" s="11"/>
      <c r="AS150" s="11"/>
      <c r="AT150" s="11"/>
    </row>
    <row r="151" spans="1:46" s="13" customFormat="1" x14ac:dyDescent="0.15">
      <c r="A151" s="55">
        <v>41438</v>
      </c>
      <c r="B151" s="11" t="s">
        <v>1275</v>
      </c>
      <c r="C151" s="33" t="s">
        <v>233</v>
      </c>
      <c r="D151" s="34" t="s">
        <v>1276</v>
      </c>
      <c r="E151" s="34" t="s">
        <v>988</v>
      </c>
      <c r="F151" s="34" t="s">
        <v>1277</v>
      </c>
      <c r="G151" s="34" t="s">
        <v>983</v>
      </c>
      <c r="H151" s="34" t="s">
        <v>1278</v>
      </c>
      <c r="I151" s="34" t="s">
        <v>1279</v>
      </c>
      <c r="J151" s="34" t="s">
        <v>1278</v>
      </c>
      <c r="K151" s="34" t="s">
        <v>1280</v>
      </c>
      <c r="L151" s="34"/>
      <c r="M151" s="34">
        <v>15283442.58</v>
      </c>
      <c r="N151" s="34">
        <f>1303649.56</f>
        <v>1303649.56</v>
      </c>
      <c r="O151" s="34"/>
      <c r="P151" s="34"/>
      <c r="Q151" s="35" t="s">
        <v>1281</v>
      </c>
      <c r="R151" s="36">
        <v>41439</v>
      </c>
      <c r="S151" s="34">
        <v>4586</v>
      </c>
      <c r="T151" s="34"/>
      <c r="U151" s="34" t="s">
        <v>600</v>
      </c>
      <c r="V151" s="37">
        <v>0.04</v>
      </c>
      <c r="W151" s="33">
        <f>M151*0.04+N151*0.036</f>
        <v>658269.08736</v>
      </c>
      <c r="X151" s="34">
        <f>611338+46931</f>
        <v>658269</v>
      </c>
      <c r="Y151" s="34">
        <f>658269</f>
        <v>658269</v>
      </c>
      <c r="Z151" s="34">
        <v>0</v>
      </c>
      <c r="AA151" s="34">
        <f>3056688.52+130000+100000+6544953.88+1342643.66+230000+1678809.38+350000+902359.64</f>
        <v>14335455.080000002</v>
      </c>
      <c r="AB151" s="34">
        <f>13433095.44+902359.64</f>
        <v>14335455.08</v>
      </c>
      <c r="AC151" s="11">
        <v>13433095.440000001</v>
      </c>
      <c r="AD151" s="11">
        <v>13433095.439999999</v>
      </c>
      <c r="AE151" s="38">
        <f t="shared" si="42"/>
        <v>0.80985234341382273</v>
      </c>
      <c r="AF151" s="34">
        <f>2400000+12226+466357.36+5698233.68+611830+120000+500000+956787.5+1600000+147425+200000+922082.75+105074</f>
        <v>13740016.289999999</v>
      </c>
      <c r="AG151" s="34">
        <f>12712859.54+922082.75+105074</f>
        <v>13740016.289999999</v>
      </c>
      <c r="AH151" s="34">
        <f>2503927+12226+466357.36+230348+5698233.68+611830+120000+45650+7820+500000+956787.5+57080+11900+1600000+147425+200000+30680+922082.75+105074</f>
        <v>14227421.289999999</v>
      </c>
      <c r="AI151" s="34"/>
      <c r="AJ151" s="34"/>
      <c r="AK151" s="34"/>
      <c r="AL151" s="34">
        <f>13169584.54+30680+922082.75+105074</f>
        <v>14227421.289999999</v>
      </c>
      <c r="AM151" s="37">
        <v>3.4000000000000002E-2</v>
      </c>
      <c r="AN151" s="37">
        <f t="shared" si="27"/>
        <v>487405.47272000002</v>
      </c>
      <c r="AO151" s="34">
        <f>103927+4420+3400+222528+45650+7820+57080+11900+30680</f>
        <v>487405</v>
      </c>
      <c r="AP151" s="34">
        <f>456725+30680</f>
        <v>487405</v>
      </c>
      <c r="AQ151" s="34">
        <f>AN151-AP151</f>
        <v>0.47272000001976267</v>
      </c>
      <c r="AR151" s="34"/>
      <c r="AS151" s="34"/>
      <c r="AT151" s="34"/>
    </row>
    <row r="152" spans="1:46" x14ac:dyDescent="0.15">
      <c r="A152" s="54">
        <v>41439</v>
      </c>
      <c r="B152" s="11" t="s">
        <v>1282</v>
      </c>
      <c r="C152" s="11" t="s">
        <v>235</v>
      </c>
      <c r="D152" s="11" t="s">
        <v>1283</v>
      </c>
      <c r="E152" s="11" t="s">
        <v>900</v>
      </c>
      <c r="F152" s="11" t="s">
        <v>1284</v>
      </c>
      <c r="G152" s="11" t="s">
        <v>943</v>
      </c>
      <c r="H152" s="11" t="s">
        <v>969</v>
      </c>
      <c r="I152" s="11" t="s">
        <v>970</v>
      </c>
      <c r="J152" s="11" t="s">
        <v>969</v>
      </c>
      <c r="K152" s="11" t="s">
        <v>526</v>
      </c>
      <c r="L152" s="11"/>
      <c r="M152" s="11">
        <v>1712229.71</v>
      </c>
      <c r="N152" s="11"/>
      <c r="O152" s="11"/>
      <c r="P152" s="11"/>
      <c r="Q152" s="15" t="s">
        <v>1285</v>
      </c>
      <c r="R152" s="16">
        <v>41495</v>
      </c>
      <c r="S152" s="11">
        <v>514</v>
      </c>
      <c r="T152" s="11"/>
      <c r="U152" s="11" t="s">
        <v>600</v>
      </c>
      <c r="V152" s="17">
        <v>3.5999999999999997E-2</v>
      </c>
      <c r="W152" s="11">
        <f t="shared" si="41"/>
        <v>61640.269559999993</v>
      </c>
      <c r="X152" s="11">
        <f>61640</f>
        <v>61640</v>
      </c>
      <c r="Y152" s="11">
        <f>61640</f>
        <v>61640</v>
      </c>
      <c r="Z152" s="11">
        <v>0</v>
      </c>
      <c r="AA152" s="11"/>
      <c r="AB152" s="11"/>
      <c r="AC152" s="11">
        <v>0</v>
      </c>
      <c r="AD152" s="11">
        <v>0</v>
      </c>
      <c r="AE152" s="18">
        <f t="shared" si="42"/>
        <v>0</v>
      </c>
      <c r="AF152" s="11"/>
      <c r="AG152" s="11"/>
      <c r="AH152" s="11"/>
      <c r="AI152" s="11"/>
      <c r="AJ152" s="11"/>
      <c r="AK152" s="11"/>
      <c r="AL152" s="11"/>
      <c r="AM152" s="17">
        <v>3.4000000000000002E-2</v>
      </c>
      <c r="AN152" s="39">
        <f t="shared" si="27"/>
        <v>0</v>
      </c>
      <c r="AO152" s="11"/>
      <c r="AP152" s="11"/>
      <c r="AQ152" s="11"/>
      <c r="AR152" s="11"/>
      <c r="AS152" s="11">
        <v>19</v>
      </c>
      <c r="AT152" s="11" t="s">
        <v>1286</v>
      </c>
    </row>
    <row r="153" spans="1:46" x14ac:dyDescent="0.15">
      <c r="A153" s="54">
        <v>41443</v>
      </c>
      <c r="B153" s="11" t="s">
        <v>1287</v>
      </c>
      <c r="C153" s="11" t="s">
        <v>237</v>
      </c>
      <c r="D153" s="11" t="s">
        <v>1288</v>
      </c>
      <c r="E153" s="11" t="s">
        <v>988</v>
      </c>
      <c r="F153" s="11" t="s">
        <v>1289</v>
      </c>
      <c r="G153" s="11" t="s">
        <v>983</v>
      </c>
      <c r="H153" s="11" t="s">
        <v>1290</v>
      </c>
      <c r="I153" s="11" t="s">
        <v>1291</v>
      </c>
      <c r="J153" s="11" t="s">
        <v>1292</v>
      </c>
      <c r="K153" s="11" t="s">
        <v>526</v>
      </c>
      <c r="L153" s="11"/>
      <c r="M153" s="11">
        <v>7389748</v>
      </c>
      <c r="N153" s="11">
        <v>1116572</v>
      </c>
      <c r="O153" s="11"/>
      <c r="P153" s="11"/>
      <c r="Q153" s="15" t="s">
        <v>1293</v>
      </c>
      <c r="R153" s="16">
        <v>41484</v>
      </c>
      <c r="S153" s="11">
        <v>2217</v>
      </c>
      <c r="T153" s="11"/>
      <c r="U153" s="11" t="s">
        <v>600</v>
      </c>
      <c r="V153" s="17">
        <v>0.03</v>
      </c>
      <c r="W153" s="11">
        <f t="shared" si="41"/>
        <v>255189.59999999998</v>
      </c>
      <c r="X153" s="11">
        <f>92150+129542+15515.27+17985</f>
        <v>255192.27</v>
      </c>
      <c r="Y153" s="11">
        <f>255191.27</f>
        <v>255191.27</v>
      </c>
      <c r="Z153" s="11">
        <v>0</v>
      </c>
      <c r="AA153" s="11">
        <f>1477950+1451600+2106770+470000+3000000</f>
        <v>8506320</v>
      </c>
      <c r="AB153" s="11">
        <f>8506320</f>
        <v>8506320</v>
      </c>
      <c r="AC153" s="11">
        <v>8506320</v>
      </c>
      <c r="AD153" s="11">
        <v>8506320</v>
      </c>
      <c r="AE153" s="18">
        <f t="shared" si="42"/>
        <v>1</v>
      </c>
      <c r="AF153" s="11">
        <f>638356+174850+13545+235692.62+52176+280000+523292.84+267480+28578+558852.86+1095779.12+383558.81+219300+150000+60000+206342+4520+80995.27+591911+369130.63+347696.17+144623+101501.63+105200+1400000+3150</f>
        <v>8036530.9499999993</v>
      </c>
      <c r="AG153" s="11">
        <f>8036530.95</f>
        <v>8036530.9500000002</v>
      </c>
      <c r="AH153" s="11">
        <f>8867+938787.13+174850+13545+235692.62+52176+280000+523292.84+339110+28578+558852.86+1095779.12+383558.81+219300+150000+30000+222322+102000+4520+80995.27+591911+369130.63+347696.16+144623+101501.63+105200+1400000+3150</f>
        <v>8505439.0700000003</v>
      </c>
      <c r="AI153" s="11"/>
      <c r="AJ153" s="11"/>
      <c r="AK153" s="11"/>
      <c r="AL153" s="11">
        <f>8505439.07</f>
        <v>8505439.0700000003</v>
      </c>
      <c r="AM153" s="17">
        <v>3.4000000000000002E-2</v>
      </c>
      <c r="AN153" s="39">
        <f t="shared" si="27"/>
        <v>289214.88</v>
      </c>
      <c r="AO153" s="11">
        <f>50250+49354+71630+15980+102000</f>
        <v>289214</v>
      </c>
      <c r="AP153" s="11">
        <f>289214</f>
        <v>289214</v>
      </c>
      <c r="AQ153" s="11">
        <v>0</v>
      </c>
      <c r="AR153" s="11"/>
      <c r="AS153" s="11">
        <v>50</v>
      </c>
      <c r="AT153" s="11" t="s">
        <v>1294</v>
      </c>
    </row>
    <row r="154" spans="1:46" x14ac:dyDescent="0.15">
      <c r="A154" s="54">
        <v>41456</v>
      </c>
      <c r="B154" s="11" t="s">
        <v>1295</v>
      </c>
      <c r="C154" s="11" t="s">
        <v>1296</v>
      </c>
      <c r="D154" s="11" t="s">
        <v>1297</v>
      </c>
      <c r="E154" s="11" t="s">
        <v>1298</v>
      </c>
      <c r="F154" s="11" t="s">
        <v>1299</v>
      </c>
      <c r="G154" s="11" t="s">
        <v>1300</v>
      </c>
      <c r="H154" s="11" t="s">
        <v>1301</v>
      </c>
      <c r="I154" s="11" t="s">
        <v>1302</v>
      </c>
      <c r="J154" s="11" t="s">
        <v>1301</v>
      </c>
      <c r="K154" s="11" t="s">
        <v>894</v>
      </c>
      <c r="L154" s="11"/>
      <c r="M154" s="11">
        <v>205000</v>
      </c>
      <c r="N154" s="11"/>
      <c r="O154" s="11"/>
      <c r="P154" s="11"/>
      <c r="Q154" s="15"/>
      <c r="R154" s="16"/>
      <c r="S154" s="11"/>
      <c r="T154" s="11"/>
      <c r="U154" s="11" t="s">
        <v>985</v>
      </c>
      <c r="V154" s="17">
        <v>3.5999999999999997E-2</v>
      </c>
      <c r="W154" s="11">
        <f>(M154+N154)*V154</f>
        <v>7379.9999999999991</v>
      </c>
      <c r="X154" s="11">
        <v>7380</v>
      </c>
      <c r="Y154" s="11">
        <f>7380</f>
        <v>7380</v>
      </c>
      <c r="Z154" s="11">
        <v>0</v>
      </c>
      <c r="AA154" s="11">
        <v>194750</v>
      </c>
      <c r="AB154" s="11">
        <f>194750</f>
        <v>194750</v>
      </c>
      <c r="AC154" s="11">
        <v>194750</v>
      </c>
      <c r="AD154" s="11">
        <v>194750</v>
      </c>
      <c r="AE154" s="18">
        <f t="shared" si="42"/>
        <v>0.95</v>
      </c>
      <c r="AF154" s="11">
        <f>99990+4832.2+50625</f>
        <v>155447.20000000001</v>
      </c>
      <c r="AG154" s="11">
        <f>155447.2</f>
        <v>155447.20000000001</v>
      </c>
      <c r="AH154" s="11">
        <f>106612+4832.2+20000+50625+10000</f>
        <v>192069.2</v>
      </c>
      <c r="AI154" s="11"/>
      <c r="AJ154" s="11"/>
      <c r="AK154" s="11"/>
      <c r="AL154" s="11">
        <f>182069.2+10000</f>
        <v>192069.2</v>
      </c>
      <c r="AM154" s="17">
        <v>3.4000000000000002E-2</v>
      </c>
      <c r="AN154" s="17">
        <f t="shared" si="27"/>
        <v>6621.5000000000009</v>
      </c>
      <c r="AO154" s="11">
        <v>6622</v>
      </c>
      <c r="AP154" s="11">
        <f>6622</f>
        <v>6622</v>
      </c>
      <c r="AQ154" s="11">
        <v>0</v>
      </c>
      <c r="AR154" s="11"/>
      <c r="AS154" s="11"/>
      <c r="AT154" s="11"/>
    </row>
    <row r="155" spans="1:46" x14ac:dyDescent="0.15">
      <c r="A155" s="54">
        <v>41457</v>
      </c>
      <c r="B155" s="11" t="s">
        <v>1303</v>
      </c>
      <c r="C155" s="11" t="s">
        <v>243</v>
      </c>
      <c r="D155" s="11" t="s">
        <v>1304</v>
      </c>
      <c r="E155" s="11" t="s">
        <v>1305</v>
      </c>
      <c r="F155" s="11"/>
      <c r="G155" s="11" t="s">
        <v>1306</v>
      </c>
      <c r="H155" s="11" t="s">
        <v>1307</v>
      </c>
      <c r="I155" s="25" t="s">
        <v>1308</v>
      </c>
      <c r="J155" s="25" t="s">
        <v>1309</v>
      </c>
      <c r="K155" s="25" t="s">
        <v>559</v>
      </c>
      <c r="L155" s="11"/>
      <c r="M155" s="11">
        <v>5287718</v>
      </c>
      <c r="N155" s="11"/>
      <c r="O155" s="11"/>
      <c r="P155" s="11"/>
      <c r="Q155" s="15" t="s">
        <v>1310</v>
      </c>
      <c r="R155" s="16">
        <v>41531</v>
      </c>
      <c r="S155" s="11">
        <v>1587</v>
      </c>
      <c r="T155" s="11"/>
      <c r="U155" s="11" t="s">
        <v>573</v>
      </c>
      <c r="V155" s="17">
        <v>0.03</v>
      </c>
      <c r="W155" s="11">
        <f>(M155+N155)*V155</f>
        <v>158631.54</v>
      </c>
      <c r="X155" s="11"/>
      <c r="Y155" s="11"/>
      <c r="Z155" s="11">
        <f>W155-Y155</f>
        <v>158631.54</v>
      </c>
      <c r="AA155" s="11"/>
      <c r="AB155" s="11"/>
      <c r="AC155" s="11">
        <v>0</v>
      </c>
      <c r="AD155" s="11">
        <v>0</v>
      </c>
      <c r="AE155" s="18">
        <f t="shared" si="42"/>
        <v>0</v>
      </c>
      <c r="AF155" s="11"/>
      <c r="AG155" s="11"/>
      <c r="AH155" s="11"/>
      <c r="AI155" s="11"/>
      <c r="AJ155" s="11"/>
      <c r="AK155" s="11"/>
      <c r="AL155" s="11"/>
      <c r="AM155" s="17">
        <v>3.4000000000000002E-2</v>
      </c>
      <c r="AN155" s="17">
        <f t="shared" si="27"/>
        <v>0</v>
      </c>
      <c r="AO155" s="11"/>
      <c r="AP155" s="11"/>
      <c r="AQ155" s="11"/>
      <c r="AR155" s="11"/>
      <c r="AS155" s="11">
        <v>15</v>
      </c>
      <c r="AT155" s="11" t="s">
        <v>1311</v>
      </c>
    </row>
    <row r="156" spans="1:46" x14ac:dyDescent="0.15">
      <c r="A156" s="54">
        <v>41459</v>
      </c>
      <c r="B156" s="11" t="s">
        <v>1312</v>
      </c>
      <c r="C156" s="11" t="s">
        <v>245</v>
      </c>
      <c r="D156" s="11" t="s">
        <v>1313</v>
      </c>
      <c r="E156" s="11" t="s">
        <v>1305</v>
      </c>
      <c r="F156" s="11" t="s">
        <v>1314</v>
      </c>
      <c r="G156" s="11" t="s">
        <v>1315</v>
      </c>
      <c r="H156" s="11" t="s">
        <v>1316</v>
      </c>
      <c r="I156" s="11" t="s">
        <v>1317</v>
      </c>
      <c r="J156" s="11" t="s">
        <v>1318</v>
      </c>
      <c r="K156" s="11" t="s">
        <v>1319</v>
      </c>
      <c r="L156" s="11"/>
      <c r="M156" s="11">
        <v>2440063.9</v>
      </c>
      <c r="N156" s="11"/>
      <c r="O156" s="11"/>
      <c r="P156" s="11"/>
      <c r="Q156" s="15"/>
      <c r="R156" s="16"/>
      <c r="S156" s="11"/>
      <c r="T156" s="11"/>
      <c r="U156" s="11" t="s">
        <v>1320</v>
      </c>
      <c r="V156" s="17">
        <v>4.5999999999999999E-2</v>
      </c>
      <c r="W156" s="11">
        <f>(M156+N156)*V156</f>
        <v>112242.93939999999</v>
      </c>
      <c r="X156" s="11">
        <f>112243.75</f>
        <v>112243.75</v>
      </c>
      <c r="Y156" s="11">
        <f>112243.75</f>
        <v>112243.75</v>
      </c>
      <c r="Z156" s="11">
        <v>0</v>
      </c>
      <c r="AA156" s="11">
        <f>1952051.12+400705.2</f>
        <v>2352756.3200000003</v>
      </c>
      <c r="AB156" s="11">
        <f>2352756.32</f>
        <v>2352756.3199999998</v>
      </c>
      <c r="AC156" s="11">
        <v>1952051.12</v>
      </c>
      <c r="AD156" s="11">
        <v>1952051.12</v>
      </c>
      <c r="AE156" s="18">
        <f t="shared" si="42"/>
        <v>0.8</v>
      </c>
      <c r="AF156" s="11">
        <f>655732+200000+101200+150000+48797.75+175016+30500+29394+70000+17268+43710+32640</f>
        <v>1554257.75</v>
      </c>
      <c r="AG156" s="11">
        <f>1554257.75</f>
        <v>1554257.75</v>
      </c>
      <c r="AH156" s="11">
        <f>655732+200000+170334.26+150000+48797.75+175016+30500+329394+70000+17268+13583.92+43710+32640</f>
        <v>1936975.93</v>
      </c>
      <c r="AI156" s="11"/>
      <c r="AJ156" s="11"/>
      <c r="AK156" s="11"/>
      <c r="AL156" s="11">
        <f>1936975.93</f>
        <v>1936975.93</v>
      </c>
      <c r="AM156" s="17">
        <v>3.7400000000000003E-2</v>
      </c>
      <c r="AN156" s="17">
        <f t="shared" ref="AN156:AN183" si="44">AM156*AB156</f>
        <v>87993.086368000004</v>
      </c>
      <c r="AO156" s="11">
        <f>87993.09</f>
        <v>87993.09</v>
      </c>
      <c r="AP156" s="11">
        <f>87993.09</f>
        <v>87993.09</v>
      </c>
      <c r="AQ156" s="11">
        <v>0</v>
      </c>
      <c r="AR156" s="11"/>
      <c r="AS156" s="11"/>
      <c r="AT156" s="11"/>
    </row>
    <row r="157" spans="1:46" x14ac:dyDescent="0.15">
      <c r="A157" s="54">
        <v>41470</v>
      </c>
      <c r="B157" s="11" t="s">
        <v>1321</v>
      </c>
      <c r="C157" s="11" t="s">
        <v>247</v>
      </c>
      <c r="D157" s="11" t="s">
        <v>1322</v>
      </c>
      <c r="E157" s="11" t="s">
        <v>1323</v>
      </c>
      <c r="F157" s="11" t="s">
        <v>1324</v>
      </c>
      <c r="G157" s="11" t="s">
        <v>1325</v>
      </c>
      <c r="H157" s="11" t="s">
        <v>1326</v>
      </c>
      <c r="I157" s="11" t="s">
        <v>1327</v>
      </c>
      <c r="J157" s="11" t="s">
        <v>1328</v>
      </c>
      <c r="K157" s="11" t="s">
        <v>559</v>
      </c>
      <c r="L157" s="11"/>
      <c r="M157" s="11">
        <v>1457017.94</v>
      </c>
      <c r="N157" s="11"/>
      <c r="O157" s="11"/>
      <c r="P157" s="11"/>
      <c r="Q157" s="15" t="s">
        <v>1329</v>
      </c>
      <c r="R157" s="16">
        <v>41499</v>
      </c>
      <c r="S157" s="11">
        <v>438</v>
      </c>
      <c r="T157" s="11"/>
      <c r="U157" s="11" t="s">
        <v>1320</v>
      </c>
      <c r="V157" s="17">
        <v>3.5999999999999997E-2</v>
      </c>
      <c r="W157" s="11">
        <f>(M157+N157)*V157</f>
        <v>52452.645839999997</v>
      </c>
      <c r="X157" s="11">
        <f>52453</f>
        <v>52453</v>
      </c>
      <c r="Y157" s="11">
        <f>52453</f>
        <v>52453</v>
      </c>
      <c r="Z157" s="11">
        <v>0</v>
      </c>
      <c r="AA157" s="11">
        <f>300000+400000+700000</f>
        <v>1400000</v>
      </c>
      <c r="AB157" s="11">
        <f>1400000</f>
        <v>1400000</v>
      </c>
      <c r="AC157" s="11">
        <v>1400000</v>
      </c>
      <c r="AD157" s="11">
        <v>1400000</v>
      </c>
      <c r="AE157" s="18">
        <f t="shared" si="42"/>
        <v>0.96086668637724537</v>
      </c>
      <c r="AF157" s="11">
        <f>285000+350000+700000</f>
        <v>1335000</v>
      </c>
      <c r="AG157" s="11">
        <f>1335000</f>
        <v>1335000</v>
      </c>
      <c r="AH157" s="11">
        <f>296948+363600+23800+700000</f>
        <v>1384348</v>
      </c>
      <c r="AI157" s="11"/>
      <c r="AJ157" s="11"/>
      <c r="AK157" s="11"/>
      <c r="AL157" s="11">
        <f>1384348</f>
        <v>1384348</v>
      </c>
      <c r="AM157" s="17">
        <v>3.4000000000000002E-2</v>
      </c>
      <c r="AN157" s="17">
        <f t="shared" si="44"/>
        <v>47600</v>
      </c>
      <c r="AO157" s="11">
        <f>10200+13600+23800</f>
        <v>47600</v>
      </c>
      <c r="AP157" s="11">
        <f>47600</f>
        <v>47600</v>
      </c>
      <c r="AQ157" s="11">
        <v>0</v>
      </c>
      <c r="AR157" s="11"/>
      <c r="AS157" s="11"/>
      <c r="AT157" s="11"/>
    </row>
    <row r="158" spans="1:46" x14ac:dyDescent="0.15">
      <c r="A158" s="54">
        <v>41472</v>
      </c>
      <c r="B158" s="11" t="s">
        <v>1330</v>
      </c>
      <c r="C158" s="11" t="s">
        <v>1331</v>
      </c>
      <c r="D158" s="11" t="s">
        <v>1332</v>
      </c>
      <c r="E158" s="11" t="s">
        <v>988</v>
      </c>
      <c r="F158" s="11" t="s">
        <v>1333</v>
      </c>
      <c r="G158" s="11" t="s">
        <v>1306</v>
      </c>
      <c r="H158" s="11" t="s">
        <v>1334</v>
      </c>
      <c r="I158" s="11" t="s">
        <v>1335</v>
      </c>
      <c r="J158" s="11" t="s">
        <v>1334</v>
      </c>
      <c r="K158" s="11" t="s">
        <v>559</v>
      </c>
      <c r="L158" s="11"/>
      <c r="M158" s="11">
        <v>190000</v>
      </c>
      <c r="N158" s="11"/>
      <c r="O158" s="11"/>
      <c r="P158" s="11"/>
      <c r="Q158" s="15" t="s">
        <v>1336</v>
      </c>
      <c r="R158" s="16">
        <v>41515</v>
      </c>
      <c r="S158" s="11">
        <v>57</v>
      </c>
      <c r="T158" s="11"/>
      <c r="U158" s="11" t="s">
        <v>1320</v>
      </c>
      <c r="V158" s="17">
        <v>3.5999999999999997E-2</v>
      </c>
      <c r="W158" s="11">
        <f>(M158+N158)*V158</f>
        <v>6839.9999999999991</v>
      </c>
      <c r="X158" s="11"/>
      <c r="Y158" s="11"/>
      <c r="Z158" s="11">
        <f>W158-Y158</f>
        <v>6839.9999999999991</v>
      </c>
      <c r="AA158" s="11">
        <f>57000+123500</f>
        <v>180500</v>
      </c>
      <c r="AB158" s="11">
        <f>180500</f>
        <v>180500</v>
      </c>
      <c r="AC158" s="11">
        <v>57000</v>
      </c>
      <c r="AD158" s="11">
        <v>57000</v>
      </c>
      <c r="AE158" s="18">
        <f t="shared" si="42"/>
        <v>0.3</v>
      </c>
      <c r="AF158" s="11"/>
      <c r="AG158" s="11"/>
      <c r="AH158" s="11">
        <f>50000</f>
        <v>50000</v>
      </c>
      <c r="AI158" s="11"/>
      <c r="AJ158" s="11"/>
      <c r="AK158" s="11"/>
      <c r="AL158" s="11">
        <f>50000</f>
        <v>50000</v>
      </c>
      <c r="AM158" s="17">
        <v>3.4000000000000002E-2</v>
      </c>
      <c r="AN158" s="17">
        <f t="shared" si="44"/>
        <v>6137</v>
      </c>
      <c r="AO158" s="11"/>
      <c r="AP158" s="11"/>
      <c r="AQ158" s="11">
        <f t="shared" si="38"/>
        <v>6137</v>
      </c>
      <c r="AR158" s="11"/>
      <c r="AS158" s="11"/>
      <c r="AT158" s="11"/>
    </row>
    <row r="159" spans="1:46" s="24" customFormat="1" x14ac:dyDescent="0.15">
      <c r="A159" s="56">
        <v>41484</v>
      </c>
      <c r="B159" s="11" t="s">
        <v>1337</v>
      </c>
      <c r="C159" s="19" t="s">
        <v>251</v>
      </c>
      <c r="D159" s="19" t="s">
        <v>1338</v>
      </c>
      <c r="E159" s="19" t="s">
        <v>1305</v>
      </c>
      <c r="F159" s="19" t="s">
        <v>1339</v>
      </c>
      <c r="G159" s="19" t="s">
        <v>983</v>
      </c>
      <c r="H159" s="19" t="s">
        <v>1340</v>
      </c>
      <c r="I159" s="19" t="s">
        <v>1341</v>
      </c>
      <c r="J159" s="19" t="s">
        <v>1342</v>
      </c>
      <c r="K159" s="19" t="s">
        <v>559</v>
      </c>
      <c r="L159" s="19"/>
      <c r="M159" s="19">
        <v>2768475</v>
      </c>
      <c r="N159" s="19"/>
      <c r="O159" s="19"/>
      <c r="P159" s="19"/>
      <c r="Q159" s="20" t="s">
        <v>1343</v>
      </c>
      <c r="R159" s="21">
        <v>41521</v>
      </c>
      <c r="S159" s="19">
        <v>831</v>
      </c>
      <c r="T159" s="19"/>
      <c r="U159" s="19" t="s">
        <v>1344</v>
      </c>
      <c r="V159" s="22">
        <v>3.5999999999999997E-2</v>
      </c>
      <c r="W159" s="19">
        <f t="shared" ref="W159:W170" si="45">(M159+N159)*V159</f>
        <v>99665.099999999991</v>
      </c>
      <c r="X159" s="19">
        <f>96813+2852</f>
        <v>99665</v>
      </c>
      <c r="Y159" s="19">
        <f>99665</f>
        <v>99665</v>
      </c>
      <c r="Z159" s="19">
        <v>0</v>
      </c>
      <c r="AA159" s="19">
        <f>225439+352389+443844+584005+630726+116801</f>
        <v>2353204</v>
      </c>
      <c r="AB159" s="19">
        <f>2353204</f>
        <v>2353204</v>
      </c>
      <c r="AC159" s="11">
        <v>2353204</v>
      </c>
      <c r="AD159" s="11">
        <v>2353204</v>
      </c>
      <c r="AE159" s="23">
        <f t="shared" si="42"/>
        <v>0.85000009030242285</v>
      </c>
      <c r="AF159" s="19">
        <f>46131+3322+300000+9031.34+409787+284553.25+253404.4+55000+420000+200000+40000</f>
        <v>2021228.99</v>
      </c>
      <c r="AG159" s="19">
        <f>2021228.99</f>
        <v>2021228.99</v>
      </c>
      <c r="AH159" s="19">
        <f>183796+3322+311981+15091+9031.34+409787+304409.25+253404.4+12067+50000+21445+420000+200000+40000+3971+100000</f>
        <v>2338304.9900000002</v>
      </c>
      <c r="AI159" s="19"/>
      <c r="AJ159" s="19"/>
      <c r="AK159" s="19"/>
      <c r="AL159" s="19">
        <f>2338304.99</f>
        <v>2338304.9900000002</v>
      </c>
      <c r="AM159" s="22">
        <v>3.4000000000000002E-2</v>
      </c>
      <c r="AN159" s="22">
        <f t="shared" si="44"/>
        <v>80008.936000000002</v>
      </c>
      <c r="AO159" s="19">
        <f>7665+11981+15091+19856+21445+3971</f>
        <v>80009</v>
      </c>
      <c r="AP159" s="19">
        <f>80009</f>
        <v>80009</v>
      </c>
      <c r="AQ159" s="19">
        <v>0</v>
      </c>
      <c r="AR159" s="19"/>
      <c r="AS159" s="19"/>
      <c r="AT159" s="19"/>
    </row>
    <row r="160" spans="1:46" s="13" customFormat="1" x14ac:dyDescent="0.15">
      <c r="A160" s="55">
        <v>41484</v>
      </c>
      <c r="B160" s="11" t="s">
        <v>1345</v>
      </c>
      <c r="C160" s="33" t="s">
        <v>253</v>
      </c>
      <c r="D160" s="34" t="s">
        <v>1346</v>
      </c>
      <c r="E160" s="34" t="s">
        <v>1305</v>
      </c>
      <c r="F160" s="34" t="s">
        <v>1347</v>
      </c>
      <c r="G160" s="34" t="s">
        <v>1325</v>
      </c>
      <c r="H160" s="34" t="s">
        <v>1348</v>
      </c>
      <c r="I160" s="34" t="s">
        <v>1349</v>
      </c>
      <c r="J160" s="34" t="s">
        <v>1348</v>
      </c>
      <c r="K160" s="34" t="s">
        <v>1319</v>
      </c>
      <c r="L160" s="34"/>
      <c r="M160" s="34">
        <v>19543207.129999999</v>
      </c>
      <c r="N160" s="34"/>
      <c r="O160" s="34"/>
      <c r="P160" s="34"/>
      <c r="Q160" s="35" t="s">
        <v>1350</v>
      </c>
      <c r="R160" s="36">
        <v>41522</v>
      </c>
      <c r="S160" s="34">
        <v>5863</v>
      </c>
      <c r="T160" s="34"/>
      <c r="U160" s="34" t="s">
        <v>573</v>
      </c>
      <c r="V160" s="37">
        <v>0.03</v>
      </c>
      <c r="W160" s="34">
        <f t="shared" si="45"/>
        <v>586296.21389999997</v>
      </c>
      <c r="X160" s="34">
        <f>294137+48467+243693</f>
        <v>586297</v>
      </c>
      <c r="Y160" s="34">
        <f>586297</f>
        <v>586297</v>
      </c>
      <c r="Z160" s="34">
        <v>0</v>
      </c>
      <c r="AA160" s="34">
        <f>2900000+940000+1450000+1500000+1000000+5030000</f>
        <v>12820000</v>
      </c>
      <c r="AB160" s="34">
        <f>12820000</f>
        <v>12820000</v>
      </c>
      <c r="AC160" s="11">
        <v>7790000</v>
      </c>
      <c r="AD160" s="11">
        <v>7790000</v>
      </c>
      <c r="AE160" s="40">
        <f t="shared" ref="AE160:AE168" si="46">AC160/(M160+N160)</f>
        <v>0.39860397263261266</v>
      </c>
      <c r="AF160" s="34">
        <f>5000+42500+558500+11689.02+35406.47+101406.73+462741+683215.46+101172.29+17554.39+50000+70380+677467.99+6435.8+581885.85+316032+443506.69+63500+741521.85+5702+20000+520000+31943+158955.3+120000+201400+200000+109367.4+46877+408088.55+110000+51000+363362.82+20511+56588+2118539.91+7000+598000</f>
        <v>10117250.52</v>
      </c>
      <c r="AG160" s="34">
        <f>7393710.61+2118539.91+7000+598000</f>
        <v>10117250.52</v>
      </c>
      <c r="AH160" s="34">
        <f>119234+42500+558500+11689.02+35406.47+101406.73+462741+717250.76+101172.29+17554.39+50000+648+70380+677467.99+6435.8+49300+632885.85+316032+443506.69+63500+741521.85+5702+20000+520000+31943+158955.3+120000+201400+200000+143367.4+46877+408088.55+110000+51000+363362.82+20511+8150+56588+2118539.91+169008+7000+598000</f>
        <v>10577625.82</v>
      </c>
      <c r="AI160" s="34"/>
      <c r="AJ160" s="34"/>
      <c r="AK160" s="34"/>
      <c r="AL160" s="34">
        <f>7685077.91+2118539.91+169008+7000+598000</f>
        <v>10577625.82</v>
      </c>
      <c r="AM160" s="37">
        <v>3.4000000000000002E-2</v>
      </c>
      <c r="AN160" s="37">
        <f t="shared" si="44"/>
        <v>435880.00000000006</v>
      </c>
      <c r="AO160" s="34">
        <f>98600+49300+51000+34000</f>
        <v>232900</v>
      </c>
      <c r="AP160" s="34">
        <f>232900</f>
        <v>232900</v>
      </c>
      <c r="AQ160" s="34"/>
      <c r="AR160" s="34"/>
      <c r="AS160" s="34">
        <v>96</v>
      </c>
      <c r="AT160" s="34" t="s">
        <v>1311</v>
      </c>
    </row>
    <row r="161" spans="1:46" s="45" customFormat="1" x14ac:dyDescent="0.15">
      <c r="A161" s="58">
        <v>41494</v>
      </c>
      <c r="B161" s="11" t="s">
        <v>1351</v>
      </c>
      <c r="C161" s="41" t="s">
        <v>259</v>
      </c>
      <c r="D161" s="25" t="s">
        <v>1352</v>
      </c>
      <c r="E161" s="25" t="s">
        <v>1323</v>
      </c>
      <c r="F161" s="25"/>
      <c r="G161" s="25" t="s">
        <v>1353</v>
      </c>
      <c r="H161" s="25" t="s">
        <v>1354</v>
      </c>
      <c r="I161" s="11" t="s">
        <v>1355</v>
      </c>
      <c r="J161" s="11" t="s">
        <v>1354</v>
      </c>
      <c r="K161" s="11" t="s">
        <v>1356</v>
      </c>
      <c r="L161" s="25"/>
      <c r="M161" s="25">
        <v>8061172</v>
      </c>
      <c r="N161" s="25"/>
      <c r="O161" s="25"/>
      <c r="P161" s="25"/>
      <c r="Q161" s="42"/>
      <c r="R161" s="43"/>
      <c r="S161" s="25"/>
      <c r="T161" s="25"/>
      <c r="U161" s="25" t="s">
        <v>573</v>
      </c>
      <c r="V161" s="39">
        <v>0.03</v>
      </c>
      <c r="W161" s="25">
        <f t="shared" si="45"/>
        <v>241835.16</v>
      </c>
      <c r="X161" s="25">
        <f>240000</f>
        <v>240000</v>
      </c>
      <c r="Y161" s="25">
        <f>240000</f>
        <v>240000</v>
      </c>
      <c r="Z161" s="25">
        <f>W161-Y161</f>
        <v>1835.1600000000035</v>
      </c>
      <c r="AA161" s="25">
        <f>1100000+500000</f>
        <v>1600000</v>
      </c>
      <c r="AB161" s="25">
        <f>1100000+500000</f>
        <v>1600000</v>
      </c>
      <c r="AC161" s="11">
        <v>1040000</v>
      </c>
      <c r="AD161" s="11">
        <v>1040000</v>
      </c>
      <c r="AE161" s="44">
        <f t="shared" si="46"/>
        <v>0.12901349828536099</v>
      </c>
      <c r="AF161" s="25">
        <f>744809+257450</f>
        <v>1002259</v>
      </c>
      <c r="AG161" s="25">
        <f>1002259</f>
        <v>1002259</v>
      </c>
      <c r="AH161" s="25">
        <f>782099+257450</f>
        <v>1039549</v>
      </c>
      <c r="AI161" s="25"/>
      <c r="AJ161" s="25"/>
      <c r="AK161" s="25"/>
      <c r="AL161" s="25">
        <f>1039549</f>
        <v>1039549</v>
      </c>
      <c r="AM161" s="39">
        <v>3.7400000000000003E-2</v>
      </c>
      <c r="AN161" s="39">
        <f t="shared" si="44"/>
        <v>59840.000000000007</v>
      </c>
      <c r="AO161" s="25">
        <f>41140+18700</f>
        <v>59840</v>
      </c>
      <c r="AP161" s="25">
        <f>41140+18700</f>
        <v>59840</v>
      </c>
      <c r="AQ161" s="25">
        <v>0</v>
      </c>
      <c r="AR161" s="25"/>
      <c r="AS161" s="25">
        <v>105</v>
      </c>
      <c r="AT161" s="25" t="s">
        <v>1357</v>
      </c>
    </row>
    <row r="162" spans="1:46" s="45" customFormat="1" x14ac:dyDescent="0.15">
      <c r="A162" s="59">
        <v>41487</v>
      </c>
      <c r="B162" s="11" t="s">
        <v>1358</v>
      </c>
      <c r="C162" s="25" t="s">
        <v>257</v>
      </c>
      <c r="D162" s="25" t="s">
        <v>1359</v>
      </c>
      <c r="E162" s="25" t="s">
        <v>1323</v>
      </c>
      <c r="F162" s="25" t="s">
        <v>1360</v>
      </c>
      <c r="G162" s="25" t="s">
        <v>1315</v>
      </c>
      <c r="H162" s="11" t="s">
        <v>1361</v>
      </c>
      <c r="I162" s="11" t="s">
        <v>1362</v>
      </c>
      <c r="J162" s="11" t="s">
        <v>1361</v>
      </c>
      <c r="K162" s="11" t="s">
        <v>1319</v>
      </c>
      <c r="L162" s="25"/>
      <c r="M162" s="25">
        <v>3427568</v>
      </c>
      <c r="N162" s="25"/>
      <c r="O162" s="25"/>
      <c r="P162" s="25"/>
      <c r="Q162" s="42"/>
      <c r="R162" s="43"/>
      <c r="S162" s="25"/>
      <c r="T162" s="25"/>
      <c r="U162" s="25" t="s">
        <v>1320</v>
      </c>
      <c r="V162" s="39">
        <v>0.03</v>
      </c>
      <c r="W162" s="25">
        <f t="shared" si="45"/>
        <v>102827.04</v>
      </c>
      <c r="X162" s="25">
        <f>50000+52827</f>
        <v>102827</v>
      </c>
      <c r="Y162" s="25">
        <f>102827</f>
        <v>102827</v>
      </c>
      <c r="Z162" s="25">
        <v>0</v>
      </c>
      <c r="AA162" s="25">
        <f>342756.8+1199648.8+1199648.8</f>
        <v>2742054.4000000004</v>
      </c>
      <c r="AB162" s="25">
        <f>2742054.4</f>
        <v>2742054.4</v>
      </c>
      <c r="AC162" s="11">
        <v>2576919.6799999997</v>
      </c>
      <c r="AD162" s="11">
        <v>2576919.6800000002</v>
      </c>
      <c r="AE162" s="44">
        <f t="shared" si="46"/>
        <v>0.75182160645682294</v>
      </c>
      <c r="AF162" s="25">
        <f>41130+99990+20000+741940+70492+118190+255024.25+514360+100000+355370</f>
        <v>2316496.25</v>
      </c>
      <c r="AG162" s="25">
        <f>2316496.25</f>
        <v>2316496.25</v>
      </c>
      <c r="AH162" s="25">
        <f>204113+99990+20000+741940+70492+170477.53+295692.33+514360+100000+355370</f>
        <v>2572434.8600000003</v>
      </c>
      <c r="AI162" s="25"/>
      <c r="AJ162" s="25"/>
      <c r="AK162" s="25"/>
      <c r="AL162" s="25">
        <f>2572434.86</f>
        <v>2572434.86</v>
      </c>
      <c r="AM162" s="39">
        <v>3.7400000000000003E-2</v>
      </c>
      <c r="AN162" s="39">
        <f t="shared" si="44"/>
        <v>102552.83456</v>
      </c>
      <c r="AO162" s="25">
        <f>102552.83</f>
        <v>102552.83</v>
      </c>
      <c r="AP162" s="25">
        <v>102552.83</v>
      </c>
      <c r="AQ162" s="25">
        <f>AN162-AP162</f>
        <v>4.5600000012200326E-3</v>
      </c>
      <c r="AR162" s="25"/>
      <c r="AS162" s="25">
        <v>42</v>
      </c>
      <c r="AT162" s="25" t="s">
        <v>1311</v>
      </c>
    </row>
    <row r="163" spans="1:46" s="45" customFormat="1" x14ac:dyDescent="0.15">
      <c r="A163" s="59">
        <v>41496</v>
      </c>
      <c r="B163" s="11" t="s">
        <v>1363</v>
      </c>
      <c r="C163" s="25" t="s">
        <v>261</v>
      </c>
      <c r="D163" s="25" t="s">
        <v>1364</v>
      </c>
      <c r="E163" s="25" t="s">
        <v>1323</v>
      </c>
      <c r="F163" s="25" t="s">
        <v>1365</v>
      </c>
      <c r="G163" s="25" t="s">
        <v>1325</v>
      </c>
      <c r="H163" s="25" t="s">
        <v>1366</v>
      </c>
      <c r="I163" s="25" t="s">
        <v>1367</v>
      </c>
      <c r="J163" s="25" t="s">
        <v>1368</v>
      </c>
      <c r="K163" s="25" t="s">
        <v>1369</v>
      </c>
      <c r="L163" s="25"/>
      <c r="M163" s="25">
        <v>2823828.2</v>
      </c>
      <c r="N163" s="25"/>
      <c r="O163" s="25"/>
      <c r="P163" s="25"/>
      <c r="Q163" s="42" t="s">
        <v>1370</v>
      </c>
      <c r="R163" s="43">
        <v>41512</v>
      </c>
      <c r="S163" s="25">
        <v>848</v>
      </c>
      <c r="T163" s="25"/>
      <c r="U163" s="25" t="s">
        <v>600</v>
      </c>
      <c r="V163" s="39">
        <v>0.03</v>
      </c>
      <c r="W163" s="25">
        <f t="shared" si="45"/>
        <v>84714.846000000005</v>
      </c>
      <c r="X163" s="25">
        <f>42358+42357</f>
        <v>84715</v>
      </c>
      <c r="Y163" s="25">
        <f>84715</f>
        <v>84715</v>
      </c>
      <c r="Z163" s="25">
        <v>0</v>
      </c>
      <c r="AA163" s="25">
        <f>564765.64+564765.64+282382.82+16984.89+40432+564765.64</f>
        <v>2034096.63</v>
      </c>
      <c r="AB163" s="25">
        <f>2034096.63</f>
        <v>2034096.63</v>
      </c>
      <c r="AC163" s="11">
        <v>2034096.63</v>
      </c>
      <c r="AD163" s="11">
        <v>2034096.63</v>
      </c>
      <c r="AE163" s="44">
        <f t="shared" si="46"/>
        <v>0.72033299688699182</v>
      </c>
      <c r="AF163" s="25">
        <f>3388+219780+108026.24+100000+350000+51000+15160+32026.7+2125+200000+1510+152999.17+3057+89600+407250</f>
        <v>1735922.1099999999</v>
      </c>
      <c r="AG163" s="25">
        <f>1735922.11</f>
        <v>1735922.11</v>
      </c>
      <c r="AH163" s="25">
        <f>3388+238982+108026.24+100000+19202+350000+51000+15160+32026.7+2125+200000+1510+10179+152999.17+3057+89600+20577+407250</f>
        <v>1805082.1099999999</v>
      </c>
      <c r="AI163" s="25"/>
      <c r="AJ163" s="25"/>
      <c r="AK163" s="25"/>
      <c r="AL163" s="25">
        <f>1805082.11</f>
        <v>1805082.11</v>
      </c>
      <c r="AM163" s="39">
        <v>3.4000000000000002E-2</v>
      </c>
      <c r="AN163" s="39">
        <f t="shared" si="44"/>
        <v>69159.28542</v>
      </c>
      <c r="AO163" s="25">
        <f>19202+19202+9601+578+1375+19202</f>
        <v>69160</v>
      </c>
      <c r="AP163" s="25">
        <f>69160</f>
        <v>69160</v>
      </c>
      <c r="AQ163" s="25">
        <v>0</v>
      </c>
      <c r="AR163" s="25"/>
      <c r="AS163" s="25">
        <v>6</v>
      </c>
      <c r="AT163" s="25" t="s">
        <v>1311</v>
      </c>
    </row>
    <row r="164" spans="1:46" s="51" customFormat="1" x14ac:dyDescent="0.15">
      <c r="A164" s="60">
        <v>41506</v>
      </c>
      <c r="B164" s="11" t="s">
        <v>1371</v>
      </c>
      <c r="C164" s="46" t="s">
        <v>263</v>
      </c>
      <c r="D164" s="46" t="s">
        <v>1372</v>
      </c>
      <c r="E164" s="46" t="s">
        <v>1323</v>
      </c>
      <c r="F164" s="46" t="s">
        <v>1373</v>
      </c>
      <c r="G164" s="46" t="s">
        <v>1374</v>
      </c>
      <c r="H164" s="19" t="s">
        <v>1375</v>
      </c>
      <c r="I164" s="19" t="s">
        <v>1376</v>
      </c>
      <c r="J164" s="19" t="s">
        <v>1377</v>
      </c>
      <c r="K164" s="19" t="s">
        <v>1356</v>
      </c>
      <c r="L164" s="46"/>
      <c r="M164" s="46">
        <v>17411600</v>
      </c>
      <c r="N164" s="46">
        <f>14846</f>
        <v>14846</v>
      </c>
      <c r="O164" s="46"/>
      <c r="P164" s="46"/>
      <c r="Q164" s="47" t="s">
        <v>1378</v>
      </c>
      <c r="R164" s="48">
        <v>41521</v>
      </c>
      <c r="S164" s="46">
        <v>5224</v>
      </c>
      <c r="T164" s="46"/>
      <c r="U164" s="46" t="s">
        <v>1320</v>
      </c>
      <c r="V164" s="49">
        <v>0.03</v>
      </c>
      <c r="W164" s="46">
        <f t="shared" si="45"/>
        <v>522793.38</v>
      </c>
      <c r="X164" s="46">
        <f>300000+222348</f>
        <v>522348</v>
      </c>
      <c r="Y164" s="46">
        <f>522348</f>
        <v>522348</v>
      </c>
      <c r="Z164" s="46">
        <f t="shared" ref="Z164" si="47">W164-Y164</f>
        <v>445.38000000000466</v>
      </c>
      <c r="AA164" s="46">
        <f>7235029+4001023+3455157+2041627+693610</f>
        <v>17426446</v>
      </c>
      <c r="AB164" s="46">
        <f>17426446</f>
        <v>17426446</v>
      </c>
      <c r="AC164" s="11">
        <v>11880000</v>
      </c>
      <c r="AD164" s="11">
        <v>11880000</v>
      </c>
      <c r="AE164" s="50">
        <f t="shared" si="46"/>
        <v>0.68172248087762699</v>
      </c>
      <c r="AF164" s="46">
        <f>1495000+600000+1237500+520106.7+1500000+100000+1500000+300000+3199470+780000</f>
        <v>11232076.699999999</v>
      </c>
      <c r="AG164" s="46">
        <f>11232076.7</f>
        <v>11232076.699999999</v>
      </c>
      <c r="AH164" s="46">
        <f>1495000+600000+1237500+520106.7+1500000+100000+508315.83+1500000+300000+3294109.21+780000-100000</f>
        <v>11735031.74</v>
      </c>
      <c r="AI164" s="46"/>
      <c r="AJ164" s="46"/>
      <c r="AK164" s="46"/>
      <c r="AL164" s="46">
        <f>11735031.74</f>
        <v>11735031.74</v>
      </c>
      <c r="AM164" s="49"/>
      <c r="AN164" s="49">
        <f t="shared" si="44"/>
        <v>0</v>
      </c>
      <c r="AO164" s="46"/>
      <c r="AP164" s="46"/>
      <c r="AQ164" s="46">
        <f t="shared" ref="AQ164" si="48">AN164-AP164</f>
        <v>0</v>
      </c>
      <c r="AR164" s="46"/>
      <c r="AS164" s="46"/>
      <c r="AT164" s="46"/>
    </row>
    <row r="165" spans="1:46" s="45" customFormat="1" x14ac:dyDescent="0.15">
      <c r="A165" s="59">
        <v>41511</v>
      </c>
      <c r="B165" s="11" t="s">
        <v>1379</v>
      </c>
      <c r="C165" s="25" t="s">
        <v>265</v>
      </c>
      <c r="D165" s="25" t="s">
        <v>1380</v>
      </c>
      <c r="E165" s="25" t="s">
        <v>1323</v>
      </c>
      <c r="F165" s="25" t="s">
        <v>1381</v>
      </c>
      <c r="G165" s="25" t="s">
        <v>1325</v>
      </c>
      <c r="H165" s="19" t="s">
        <v>1375</v>
      </c>
      <c r="I165" s="19" t="s">
        <v>1382</v>
      </c>
      <c r="J165" s="19" t="s">
        <v>1383</v>
      </c>
      <c r="K165" s="25" t="s">
        <v>559</v>
      </c>
      <c r="L165" s="25"/>
      <c r="M165" s="25">
        <v>407310.98</v>
      </c>
      <c r="N165" s="25"/>
      <c r="O165" s="25"/>
      <c r="P165" s="25"/>
      <c r="Q165" s="42" t="s">
        <v>1384</v>
      </c>
      <c r="R165" s="43">
        <v>41523</v>
      </c>
      <c r="S165" s="25">
        <v>123</v>
      </c>
      <c r="T165" s="25"/>
      <c r="U165" s="25" t="s">
        <v>573</v>
      </c>
      <c r="V165" s="39">
        <v>3.5999999999999997E-2</v>
      </c>
      <c r="W165" s="25">
        <f t="shared" si="45"/>
        <v>14663.195279999998</v>
      </c>
      <c r="X165" s="25">
        <f>14663</f>
        <v>14663</v>
      </c>
      <c r="Y165" s="25">
        <f>14663</f>
        <v>14663</v>
      </c>
      <c r="Z165" s="25">
        <v>0</v>
      </c>
      <c r="AA165" s="25">
        <f>407310.98</f>
        <v>407310.98</v>
      </c>
      <c r="AB165" s="25">
        <f>407310.98</f>
        <v>407310.98</v>
      </c>
      <c r="AC165" s="11">
        <v>350000</v>
      </c>
      <c r="AD165" s="11">
        <v>350000</v>
      </c>
      <c r="AE165" s="44">
        <f t="shared" si="46"/>
        <v>0.85929429155089321</v>
      </c>
      <c r="AF165" s="25">
        <f>300000</f>
        <v>300000</v>
      </c>
      <c r="AG165" s="25">
        <f>300000</f>
        <v>300000</v>
      </c>
      <c r="AH165" s="25">
        <f>13849+300000</f>
        <v>313849</v>
      </c>
      <c r="AI165" s="25"/>
      <c r="AJ165" s="25"/>
      <c r="AK165" s="25"/>
      <c r="AL165" s="25">
        <f>313849</f>
        <v>313849</v>
      </c>
      <c r="AM165" s="39">
        <v>3.4000000000000002E-2</v>
      </c>
      <c r="AN165" s="39">
        <f t="shared" si="44"/>
        <v>13848.57332</v>
      </c>
      <c r="AO165" s="25">
        <f>13849</f>
        <v>13849</v>
      </c>
      <c r="AP165" s="25">
        <f>13849</f>
        <v>13849</v>
      </c>
      <c r="AQ165" s="25">
        <v>0</v>
      </c>
      <c r="AR165" s="25"/>
      <c r="AS165" s="25"/>
      <c r="AT165" s="25"/>
    </row>
    <row r="166" spans="1:46" s="45" customFormat="1" x14ac:dyDescent="0.15">
      <c r="A166" s="58">
        <v>41519</v>
      </c>
      <c r="B166" s="11" t="s">
        <v>1385</v>
      </c>
      <c r="C166" s="41" t="s">
        <v>1386</v>
      </c>
      <c r="D166" s="25" t="s">
        <v>1387</v>
      </c>
      <c r="E166" s="25" t="s">
        <v>1323</v>
      </c>
      <c r="F166" s="25" t="s">
        <v>1388</v>
      </c>
      <c r="G166" s="25" t="s">
        <v>1306</v>
      </c>
      <c r="H166" s="25" t="s">
        <v>1389</v>
      </c>
      <c r="I166" s="25" t="s">
        <v>1390</v>
      </c>
      <c r="J166" s="25" t="s">
        <v>1391</v>
      </c>
      <c r="K166" s="25" t="s">
        <v>1369</v>
      </c>
      <c r="L166" s="25"/>
      <c r="M166" s="25">
        <v>8700000</v>
      </c>
      <c r="N166" s="25">
        <f>7411961</f>
        <v>7411961</v>
      </c>
      <c r="O166" s="25"/>
      <c r="P166" s="25"/>
      <c r="Q166" s="42" t="s">
        <v>1392</v>
      </c>
      <c r="R166" s="43">
        <v>41647</v>
      </c>
      <c r="S166" s="25">
        <v>2610</v>
      </c>
      <c r="T166" s="25"/>
      <c r="U166" s="25" t="s">
        <v>1320</v>
      </c>
      <c r="V166" s="39">
        <v>0.03</v>
      </c>
      <c r="W166" s="25">
        <f t="shared" si="45"/>
        <v>483358.82999999996</v>
      </c>
      <c r="X166" s="25">
        <f>100000+161000+215853</f>
        <v>476853</v>
      </c>
      <c r="Y166" s="25">
        <f>476853</f>
        <v>476853</v>
      </c>
      <c r="Z166" s="25">
        <f>W166-Y166</f>
        <v>6505.8299999999581</v>
      </c>
      <c r="AA166" s="25">
        <f>870000+1807511+741196+943418.25+262358.92+1513947+750296.57+1557966+897006.31+964467.59</f>
        <v>10308167.640000001</v>
      </c>
      <c r="AB166" s="25">
        <f>10308167.64</f>
        <v>10308167.640000001</v>
      </c>
      <c r="AC166" s="11">
        <v>9343700.0500000007</v>
      </c>
      <c r="AD166" s="11">
        <v>9343700.0500000007</v>
      </c>
      <c r="AE166" s="44">
        <f t="shared" si="46"/>
        <v>0.57992320425800437</v>
      </c>
      <c r="AF166" s="25">
        <f>185363.8+400000+113137+100000+870412+550469+108775+130000+50000+213111+110000+517692.8+47483+1001642.88+1068541+10904.14+26179.6+215000+729247.18+160506.3+67770+400000+193580.09+40000+4800+890+5122+100000</f>
        <v>7420626.7899999982</v>
      </c>
      <c r="AG166" s="25">
        <f>7269814.79+40000+4800+890+5122+100000</f>
        <v>7420626.79</v>
      </c>
      <c r="AH166" s="25">
        <f>585363.8+113137+16200+100000+961447+550469+108775+155201+50000+400000+213111+32076+110000+517692.8+8920+124467+1001642.88+1068541+10904.14+26179.6+298469+729247.18+221758.3-4500+67770+400000+193580.09+41000+50812+100000</f>
        <v>8252263.7899999982</v>
      </c>
      <c r="AI166" s="25"/>
      <c r="AJ166" s="25"/>
      <c r="AK166" s="25"/>
      <c r="AL166" s="25">
        <f>8101451.79+50812+100000</f>
        <v>8252263.79</v>
      </c>
      <c r="AM166" s="39">
        <v>3.4000000000000002E-2</v>
      </c>
      <c r="AN166" s="39">
        <f t="shared" si="44"/>
        <v>350477.69976000005</v>
      </c>
      <c r="AO166" s="25">
        <f>29580+61455+25201+32076+8920+51474+25510+52971+30498+32792</f>
        <v>350477</v>
      </c>
      <c r="AP166" s="25">
        <f>350477</f>
        <v>350477</v>
      </c>
      <c r="AQ166" s="25">
        <v>0</v>
      </c>
      <c r="AR166" s="25"/>
      <c r="AS166" s="25">
        <v>90</v>
      </c>
      <c r="AT166" s="25" t="s">
        <v>1311</v>
      </c>
    </row>
    <row r="167" spans="1:46" s="45" customFormat="1" x14ac:dyDescent="0.15">
      <c r="A167" s="58">
        <v>41522</v>
      </c>
      <c r="B167" s="11" t="s">
        <v>1393</v>
      </c>
      <c r="C167" s="41" t="s">
        <v>271</v>
      </c>
      <c r="D167" s="25" t="s">
        <v>1394</v>
      </c>
      <c r="E167" s="25" t="s">
        <v>1323</v>
      </c>
      <c r="F167" s="25" t="s">
        <v>1395</v>
      </c>
      <c r="G167" s="25" t="s">
        <v>1325</v>
      </c>
      <c r="H167" s="25" t="s">
        <v>1396</v>
      </c>
      <c r="I167" s="25" t="s">
        <v>1367</v>
      </c>
      <c r="J167" s="25" t="s">
        <v>1368</v>
      </c>
      <c r="K167" s="25" t="s">
        <v>559</v>
      </c>
      <c r="L167" s="25"/>
      <c r="M167" s="25">
        <f>360000</f>
        <v>360000</v>
      </c>
      <c r="N167" s="25"/>
      <c r="O167" s="25"/>
      <c r="P167" s="25"/>
      <c r="Q167" s="42" t="s">
        <v>1397</v>
      </c>
      <c r="R167" s="43">
        <v>41540</v>
      </c>
      <c r="S167" s="25">
        <v>108</v>
      </c>
      <c r="T167" s="25"/>
      <c r="U167" s="25" t="s">
        <v>1398</v>
      </c>
      <c r="V167" s="39">
        <v>3.5999999999999997E-2</v>
      </c>
      <c r="W167" s="25">
        <f t="shared" si="45"/>
        <v>12959.999999999998</v>
      </c>
      <c r="X167" s="25">
        <f>12960</f>
        <v>12960</v>
      </c>
      <c r="Y167" s="25">
        <f>12960</f>
        <v>12960</v>
      </c>
      <c r="Z167" s="25">
        <v>0</v>
      </c>
      <c r="AA167" s="25">
        <f>108000+108000+35827</f>
        <v>251827</v>
      </c>
      <c r="AB167" s="25">
        <f>251827</f>
        <v>251827</v>
      </c>
      <c r="AC167" s="11">
        <v>250827</v>
      </c>
      <c r="AD167" s="11">
        <v>250827</v>
      </c>
      <c r="AE167" s="44">
        <f t="shared" si="46"/>
        <v>0.6967416666666667</v>
      </c>
      <c r="AF167" s="25">
        <f>39536.1+100000+99999</f>
        <v>239535.1</v>
      </c>
      <c r="AG167" s="25">
        <f>239535.1</f>
        <v>239535.1</v>
      </c>
      <c r="AH167" s="25">
        <f>43208.1+3672+100000+1218+99999</f>
        <v>248097.1</v>
      </c>
      <c r="AI167" s="25"/>
      <c r="AJ167" s="25"/>
      <c r="AK167" s="25"/>
      <c r="AL167" s="25">
        <f>248097.1</f>
        <v>248097.1</v>
      </c>
      <c r="AM167" s="39">
        <v>3.4000000000000002E-2</v>
      </c>
      <c r="AN167" s="39">
        <f t="shared" si="44"/>
        <v>8562.1180000000004</v>
      </c>
      <c r="AO167" s="25">
        <f>3672+3672+1218</f>
        <v>8562</v>
      </c>
      <c r="AP167" s="25">
        <f>8562</f>
        <v>8562</v>
      </c>
      <c r="AQ167" s="25">
        <v>0</v>
      </c>
      <c r="AR167" s="25"/>
      <c r="AS167" s="25"/>
      <c r="AT167" s="25"/>
    </row>
    <row r="168" spans="1:46" s="51" customFormat="1" x14ac:dyDescent="0.15">
      <c r="A168" s="61">
        <v>41588</v>
      </c>
      <c r="B168" s="11" t="s">
        <v>1399</v>
      </c>
      <c r="C168" s="52" t="s">
        <v>297</v>
      </c>
      <c r="D168" s="46" t="s">
        <v>1400</v>
      </c>
      <c r="E168" s="46" t="s">
        <v>1323</v>
      </c>
      <c r="F168" s="46" t="s">
        <v>1401</v>
      </c>
      <c r="G168" s="46" t="s">
        <v>1402</v>
      </c>
      <c r="H168" s="46" t="s">
        <v>1403</v>
      </c>
      <c r="I168" s="46" t="s">
        <v>1404</v>
      </c>
      <c r="J168" s="46" t="s">
        <v>1405</v>
      </c>
      <c r="K168" s="46" t="s">
        <v>1356</v>
      </c>
      <c r="L168" s="46"/>
      <c r="M168" s="46">
        <v>20420000</v>
      </c>
      <c r="N168" s="46"/>
      <c r="O168" s="46"/>
      <c r="P168" s="46"/>
      <c r="Q168" s="47" t="s">
        <v>1406</v>
      </c>
      <c r="R168" s="48">
        <v>41604</v>
      </c>
      <c r="S168" s="46">
        <v>6126</v>
      </c>
      <c r="T168" s="46"/>
      <c r="U168" s="46" t="s">
        <v>1320</v>
      </c>
      <c r="V168" s="49">
        <v>0.03</v>
      </c>
      <c r="W168" s="46">
        <f t="shared" si="45"/>
        <v>612600</v>
      </c>
      <c r="X168" s="46">
        <f>304982+197440+110178.5</f>
        <v>612600.5</v>
      </c>
      <c r="Y168" s="46">
        <f>612600.5</f>
        <v>612600.5</v>
      </c>
      <c r="Z168" s="46">
        <v>0</v>
      </c>
      <c r="AA168" s="46">
        <f>192567.45+3063000+4102272.91</f>
        <v>7357840.3600000003</v>
      </c>
      <c r="AB168" s="46">
        <f>7357840.36</f>
        <v>7357840.3600000003</v>
      </c>
      <c r="AC168" s="11">
        <v>7357840.3600000003</v>
      </c>
      <c r="AD168" s="11">
        <v>7357840.3600000003</v>
      </c>
      <c r="AE168" s="50">
        <f t="shared" si="46"/>
        <v>0.36032518903036242</v>
      </c>
      <c r="AF168" s="46">
        <f>795510.11+302080+1800000+2902+17400+133706.8+1900+180000+3025621.29+124664+6000+216225.5+400000</f>
        <v>7006009.6999999993</v>
      </c>
      <c r="AG168" s="46">
        <f>7006009.7</f>
        <v>7006009.7000000002</v>
      </c>
      <c r="AH168" s="46">
        <f>795510.11+302080+1800000+17400+133706.8+1900+180000+3169927.92+124664+6000+216225.5+400000</f>
        <v>7147414.3300000001</v>
      </c>
      <c r="AI168" s="46">
        <v>121</v>
      </c>
      <c r="AJ168" s="46">
        <v>956</v>
      </c>
      <c r="AK168" s="46">
        <v>1825</v>
      </c>
      <c r="AL168" s="46">
        <f>7147414.33+121+956+1825</f>
        <v>7150316.3300000001</v>
      </c>
      <c r="AM168" s="49">
        <v>3.56E-2</v>
      </c>
      <c r="AN168" s="49">
        <f t="shared" si="44"/>
        <v>261939.11681600002</v>
      </c>
      <c r="AO168" s="46"/>
      <c r="AP168" s="46"/>
      <c r="AQ168" s="46">
        <v>0</v>
      </c>
      <c r="AR168" s="46"/>
      <c r="AS168" s="46"/>
      <c r="AT168" s="46"/>
    </row>
    <row r="169" spans="1:46" s="51" customFormat="1" x14ac:dyDescent="0.15">
      <c r="A169" s="61">
        <v>41532</v>
      </c>
      <c r="B169" s="11" t="s">
        <v>1407</v>
      </c>
      <c r="C169" s="52" t="s">
        <v>273</v>
      </c>
      <c r="D169" s="46" t="s">
        <v>1408</v>
      </c>
      <c r="E169" s="46" t="s">
        <v>1323</v>
      </c>
      <c r="F169" s="46" t="s">
        <v>1409</v>
      </c>
      <c r="G169" s="46" t="s">
        <v>1402</v>
      </c>
      <c r="H169" s="46" t="s">
        <v>1403</v>
      </c>
      <c r="I169" s="46" t="s">
        <v>1404</v>
      </c>
      <c r="J169" s="46" t="s">
        <v>1410</v>
      </c>
      <c r="K169" s="46" t="s">
        <v>1319</v>
      </c>
      <c r="L169" s="46"/>
      <c r="M169" s="46">
        <v>26077738.800000001</v>
      </c>
      <c r="N169" s="46"/>
      <c r="O169" s="46"/>
      <c r="P169" s="46"/>
      <c r="Q169" s="47" t="s">
        <v>1411</v>
      </c>
      <c r="R169" s="48">
        <v>41604</v>
      </c>
      <c r="S169" s="46">
        <v>7824</v>
      </c>
      <c r="T169" s="46"/>
      <c r="U169" s="46" t="s">
        <v>1320</v>
      </c>
      <c r="V169" s="49">
        <v>0.03</v>
      </c>
      <c r="W169" s="46">
        <f t="shared" si="45"/>
        <v>782332.16399999999</v>
      </c>
      <c r="X169" s="46">
        <f>6047</f>
        <v>6047</v>
      </c>
      <c r="Y169" s="46">
        <f>6047</f>
        <v>6047</v>
      </c>
      <c r="Z169" s="46">
        <f>W169-Y169</f>
        <v>776285.16399999999</v>
      </c>
      <c r="AA169" s="46"/>
      <c r="AB169" s="46"/>
      <c r="AC169" s="11">
        <v>0</v>
      </c>
      <c r="AD169" s="11">
        <v>0</v>
      </c>
      <c r="AE169" s="50"/>
      <c r="AF169" s="46"/>
      <c r="AG169" s="46"/>
      <c r="AH169" s="46"/>
      <c r="AI169" s="46"/>
      <c r="AJ169" s="46"/>
      <c r="AK169" s="46"/>
      <c r="AL169" s="46"/>
      <c r="AM169" s="49">
        <v>3.56E-2</v>
      </c>
      <c r="AN169" s="49">
        <f t="shared" si="44"/>
        <v>0</v>
      </c>
      <c r="AO169" s="46"/>
      <c r="AP169" s="46"/>
      <c r="AQ169" s="46"/>
      <c r="AR169" s="46"/>
      <c r="AS169" s="46">
        <v>180</v>
      </c>
      <c r="AT169" s="46" t="s">
        <v>1357</v>
      </c>
    </row>
    <row r="170" spans="1:46" s="45" customFormat="1" x14ac:dyDescent="0.15">
      <c r="A170" s="58">
        <v>41535</v>
      </c>
      <c r="B170" s="11" t="s">
        <v>1412</v>
      </c>
      <c r="C170" s="41" t="s">
        <v>275</v>
      </c>
      <c r="D170" s="25" t="s">
        <v>1413</v>
      </c>
      <c r="E170" s="25" t="s">
        <v>1323</v>
      </c>
      <c r="F170" s="25" t="s">
        <v>1414</v>
      </c>
      <c r="G170" s="25" t="s">
        <v>1325</v>
      </c>
      <c r="H170" s="25" t="s">
        <v>1415</v>
      </c>
      <c r="I170" s="11" t="s">
        <v>1416</v>
      </c>
      <c r="J170" s="11" t="s">
        <v>1417</v>
      </c>
      <c r="K170" s="11" t="s">
        <v>559</v>
      </c>
      <c r="L170" s="25"/>
      <c r="M170" s="25">
        <v>937580</v>
      </c>
      <c r="N170" s="25"/>
      <c r="O170" s="25"/>
      <c r="P170" s="25"/>
      <c r="Q170" s="42" t="s">
        <v>1418</v>
      </c>
      <c r="R170" s="43">
        <v>41547</v>
      </c>
      <c r="S170" s="25">
        <v>282</v>
      </c>
      <c r="T170" s="25"/>
      <c r="U170" s="46" t="s">
        <v>1320</v>
      </c>
      <c r="V170" s="39">
        <v>3.5999999999999997E-2</v>
      </c>
      <c r="W170" s="25">
        <f t="shared" si="45"/>
        <v>33752.879999999997</v>
      </c>
      <c r="X170" s="25">
        <f>33753</f>
        <v>33753</v>
      </c>
      <c r="Y170" s="25">
        <f>33753</f>
        <v>33753</v>
      </c>
      <c r="Z170" s="46">
        <v>0</v>
      </c>
      <c r="AA170" s="25">
        <f>281274+177032+131261.2</f>
        <v>589567.19999999995</v>
      </c>
      <c r="AB170" s="25">
        <f>589567.2</f>
        <v>589567.19999999995</v>
      </c>
      <c r="AC170" s="11">
        <v>589567.19999999995</v>
      </c>
      <c r="AD170" s="11">
        <v>589567.19999999995</v>
      </c>
      <c r="AE170" s="44">
        <f t="shared" ref="AE170:AE180" si="49">AC170/(M170+N170)</f>
        <v>0.62881802086221972</v>
      </c>
      <c r="AF170" s="25">
        <f>200000+50000+12960+100000+200000</f>
        <v>562960</v>
      </c>
      <c r="AG170" s="25">
        <f>562960</f>
        <v>562960</v>
      </c>
      <c r="AH170" s="25">
        <f>9563+200000+50000+12960+106019+204463</f>
        <v>583005</v>
      </c>
      <c r="AI170" s="25"/>
      <c r="AJ170" s="25"/>
      <c r="AK170" s="25"/>
      <c r="AL170" s="25">
        <f>583005</f>
        <v>583005</v>
      </c>
      <c r="AM170" s="39">
        <v>3.4000000000000002E-2</v>
      </c>
      <c r="AN170" s="49">
        <f t="shared" si="44"/>
        <v>20045.284800000001</v>
      </c>
      <c r="AO170" s="25">
        <f>9563+6019+4463</f>
        <v>20045</v>
      </c>
      <c r="AP170" s="25">
        <f>20045</f>
        <v>20045</v>
      </c>
      <c r="AQ170" s="25">
        <v>0</v>
      </c>
      <c r="AR170" s="25"/>
      <c r="AS170" s="25"/>
      <c r="AT170" s="25"/>
    </row>
    <row r="171" spans="1:46" s="13" customFormat="1" x14ac:dyDescent="0.15">
      <c r="A171" s="55">
        <v>41557</v>
      </c>
      <c r="B171" s="11" t="s">
        <v>1419</v>
      </c>
      <c r="C171" s="33" t="s">
        <v>1420</v>
      </c>
      <c r="D171" s="34" t="s">
        <v>1421</v>
      </c>
      <c r="E171" s="34" t="s">
        <v>1323</v>
      </c>
      <c r="F171" s="34" t="s">
        <v>1422</v>
      </c>
      <c r="G171" s="34" t="s">
        <v>1423</v>
      </c>
      <c r="H171" s="34" t="s">
        <v>1424</v>
      </c>
      <c r="I171" s="34" t="s">
        <v>1425</v>
      </c>
      <c r="J171" s="34" t="s">
        <v>1426</v>
      </c>
      <c r="K171" s="34" t="s">
        <v>1369</v>
      </c>
      <c r="L171" s="34"/>
      <c r="M171" s="34">
        <v>7763574.6600000001</v>
      </c>
      <c r="N171" s="34"/>
      <c r="O171" s="34"/>
      <c r="P171" s="34"/>
      <c r="Q171" s="35" t="s">
        <v>1427</v>
      </c>
      <c r="R171" s="36">
        <v>41627</v>
      </c>
      <c r="S171" s="34">
        <v>2330</v>
      </c>
      <c r="T171" s="34"/>
      <c r="U171" s="34" t="s">
        <v>573</v>
      </c>
      <c r="V171" s="37">
        <v>0.03</v>
      </c>
      <c r="W171" s="34">
        <f t="shared" ref="W171:W187" si="50">M171*V171</f>
        <v>232907.23980000001</v>
      </c>
      <c r="X171" s="34">
        <v>92979</v>
      </c>
      <c r="Y171" s="34">
        <f>92979</f>
        <v>92979</v>
      </c>
      <c r="Z171" s="34">
        <f>W171-Y171</f>
        <v>139928.23980000001</v>
      </c>
      <c r="AA171" s="34">
        <f>408855+453122+775336+772266+1014198+1482456</f>
        <v>4906233</v>
      </c>
      <c r="AB171" s="34">
        <f>4906233</f>
        <v>4906233</v>
      </c>
      <c r="AC171" s="11">
        <v>3423677</v>
      </c>
      <c r="AD171" s="11">
        <v>3423677</v>
      </c>
      <c r="AE171" s="40">
        <f t="shared" si="49"/>
        <v>0.44099234565743195</v>
      </c>
      <c r="AF171" s="34">
        <f>179000+200000+277980.9+99990+50000+324272.32+341762+48000+4953+146314.53+423799+30000+701290+100000+18240+299874.5+12941+2228.94+3000</f>
        <v>3263646.19</v>
      </c>
      <c r="AG171" s="34">
        <f>3258417.25+2228.94+3000</f>
        <v>3263646.19</v>
      </c>
      <c r="AH171" s="34">
        <f>179000+213492.21+292933.92+99990+50000+324272.32+368123+48000+10000+4953+5100+20000+207054.53+423799+30000+701290+100000+18240+299874.5+12941+2228.94+3000</f>
        <v>3414292.42</v>
      </c>
      <c r="AI171" s="34"/>
      <c r="AJ171" s="34"/>
      <c r="AK171" s="34"/>
      <c r="AL171" s="34">
        <f>3409063.48+2228.94+3000</f>
        <v>3414292.42</v>
      </c>
      <c r="AM171" s="37">
        <v>3.4000000000000002E-2</v>
      </c>
      <c r="AN171" s="37">
        <f t="shared" si="44"/>
        <v>166811.92200000002</v>
      </c>
      <c r="AO171" s="34">
        <f>26361+26257+34483</f>
        <v>87101</v>
      </c>
      <c r="AP171" s="34">
        <f>87101</f>
        <v>87101</v>
      </c>
      <c r="AQ171" s="34"/>
      <c r="AR171" s="34"/>
      <c r="AS171" s="34">
        <v>100</v>
      </c>
      <c r="AT171" s="34" t="s">
        <v>1428</v>
      </c>
    </row>
    <row r="172" spans="1:46" s="45" customFormat="1" x14ac:dyDescent="0.15">
      <c r="A172" s="58">
        <v>41562</v>
      </c>
      <c r="B172" s="11" t="s">
        <v>1429</v>
      </c>
      <c r="C172" s="41" t="s">
        <v>283</v>
      </c>
      <c r="D172" s="25" t="s">
        <v>1430</v>
      </c>
      <c r="E172" s="25" t="s">
        <v>1305</v>
      </c>
      <c r="F172" s="25" t="s">
        <v>1431</v>
      </c>
      <c r="G172" s="25" t="s">
        <v>1325</v>
      </c>
      <c r="H172" s="25" t="s">
        <v>1432</v>
      </c>
      <c r="I172" s="25" t="s">
        <v>1308</v>
      </c>
      <c r="J172" s="25" t="s">
        <v>1309</v>
      </c>
      <c r="K172" s="25" t="s">
        <v>559</v>
      </c>
      <c r="L172" s="25"/>
      <c r="M172" s="25">
        <f>13700792.69-2000000</f>
        <v>11700792.689999999</v>
      </c>
      <c r="N172" s="25"/>
      <c r="O172" s="25"/>
      <c r="P172" s="25"/>
      <c r="Q172" s="42" t="s">
        <v>1433</v>
      </c>
      <c r="R172" s="43">
        <v>41782</v>
      </c>
      <c r="S172" s="25">
        <v>4111</v>
      </c>
      <c r="T172" s="25"/>
      <c r="U172" s="25" t="s">
        <v>573</v>
      </c>
      <c r="V172" s="39">
        <v>0.03</v>
      </c>
      <c r="W172" s="25">
        <f t="shared" si="50"/>
        <v>351023.78069999994</v>
      </c>
      <c r="X172" s="25">
        <v>351024</v>
      </c>
      <c r="Y172" s="25">
        <v>351024</v>
      </c>
      <c r="Z172" s="25">
        <v>0</v>
      </c>
      <c r="AA172" s="25">
        <f>3534362+2340159</f>
        <v>5874521</v>
      </c>
      <c r="AB172" s="25">
        <f>5874521</f>
        <v>5874521</v>
      </c>
      <c r="AC172" s="11">
        <v>5874521</v>
      </c>
      <c r="AD172" s="11">
        <v>5874521</v>
      </c>
      <c r="AE172" s="44">
        <f t="shared" si="49"/>
        <v>0.50206179663542094</v>
      </c>
      <c r="AF172" s="25">
        <f>334120.37+4071+32100+468239.8+604970+50000+1535324.89+54300+429990+699999.85+50517+250000+149990+44900+306227.22+100000+100000+25000+160000+2400</f>
        <v>5402150.129999999</v>
      </c>
      <c r="AG172" s="25">
        <f>5402150.13</f>
        <v>5402150.1299999999</v>
      </c>
      <c r="AH172" s="25">
        <f>454288.37+4071+32100+468239.8+604970+50000+1535324.89+50000+180000+79565+11000+429990+699999.85+50517+250000+159990+44900+306227.22+100000+100000+25000+160000+2400+1500</f>
        <v>5800083.129999999</v>
      </c>
      <c r="AI172" s="25"/>
      <c r="AJ172" s="25"/>
      <c r="AK172" s="25"/>
      <c r="AL172" s="25">
        <f>5800083.13</f>
        <v>5800083.1299999999</v>
      </c>
      <c r="AM172" s="39">
        <v>3.4000000000000002E-2</v>
      </c>
      <c r="AN172" s="39">
        <f t="shared" si="44"/>
        <v>199733.71400000001</v>
      </c>
      <c r="AO172" s="25">
        <f>120168+79565</f>
        <v>199733</v>
      </c>
      <c r="AP172" s="25">
        <f>199733</f>
        <v>199733</v>
      </c>
      <c r="AQ172" s="25">
        <v>0</v>
      </c>
      <c r="AR172" s="25"/>
      <c r="AS172" s="25">
        <v>85</v>
      </c>
      <c r="AT172" s="25" t="s">
        <v>1357</v>
      </c>
    </row>
    <row r="173" spans="1:46" s="45" customFormat="1" x14ac:dyDescent="0.15">
      <c r="A173" s="58">
        <v>41566</v>
      </c>
      <c r="B173" s="11" t="s">
        <v>1434</v>
      </c>
      <c r="C173" s="41" t="s">
        <v>289</v>
      </c>
      <c r="D173" s="25" t="s">
        <v>1435</v>
      </c>
      <c r="E173" s="25" t="s">
        <v>1305</v>
      </c>
      <c r="F173" s="25" t="s">
        <v>1436</v>
      </c>
      <c r="G173" s="25" t="s">
        <v>1325</v>
      </c>
      <c r="H173" s="25" t="s">
        <v>1437</v>
      </c>
      <c r="I173" s="11" t="s">
        <v>1438</v>
      </c>
      <c r="J173" s="11" t="s">
        <v>1437</v>
      </c>
      <c r="K173" s="11" t="s">
        <v>559</v>
      </c>
      <c r="L173" s="25"/>
      <c r="M173" s="25">
        <v>3443591.39</v>
      </c>
      <c r="N173" s="25"/>
      <c r="O173" s="25"/>
      <c r="P173" s="25"/>
      <c r="Q173" s="42" t="s">
        <v>1439</v>
      </c>
      <c r="R173" s="43">
        <v>41736</v>
      </c>
      <c r="S173" s="25">
        <v>1034</v>
      </c>
      <c r="T173" s="25"/>
      <c r="U173" s="25" t="s">
        <v>600</v>
      </c>
      <c r="V173" s="39">
        <v>3.5999999999999997E-2</v>
      </c>
      <c r="W173" s="25">
        <f t="shared" si="50"/>
        <v>123969.29003999999</v>
      </c>
      <c r="X173" s="25">
        <f>103969+20000</f>
        <v>123969</v>
      </c>
      <c r="Y173" s="25">
        <f>123969</f>
        <v>123969</v>
      </c>
      <c r="Z173" s="25">
        <v>0</v>
      </c>
      <c r="AA173" s="25">
        <f>688718+200000+833077.42+200000+500000</f>
        <v>2421795.42</v>
      </c>
      <c r="AB173" s="25">
        <f>2421795.42</f>
        <v>2421795.42</v>
      </c>
      <c r="AC173" s="11">
        <v>2421795.42</v>
      </c>
      <c r="AD173" s="11">
        <v>2421795.42</v>
      </c>
      <c r="AE173" s="44">
        <f t="shared" si="49"/>
        <v>0.70327607016115812</v>
      </c>
      <c r="AF173" s="25">
        <f>300337.98+153796.6+14887+150000+5613+150000+80000+570000+180000+30000+170740+450000+52500+5000</f>
        <v>2312874.58</v>
      </c>
      <c r="AG173" s="25">
        <f>2312874.58</f>
        <v>2312874.58</v>
      </c>
      <c r="AH173" s="25">
        <f>323753.98+153796.6+14887+15328.81+150000+6800+150000+40000+28325+570000+180000+36800+170740+17000+450000+52500</f>
        <v>2359931.3899999997</v>
      </c>
      <c r="AI173" s="25"/>
      <c r="AJ173" s="25"/>
      <c r="AK173" s="25">
        <f>5613+5000</f>
        <v>10613</v>
      </c>
      <c r="AL173" s="25">
        <f>2359931.39+10613</f>
        <v>2370544.39</v>
      </c>
      <c r="AM173" s="39">
        <v>3.4000000000000002E-2</v>
      </c>
      <c r="AN173" s="39">
        <f t="shared" si="44"/>
        <v>82341.044280000002</v>
      </c>
      <c r="AO173" s="25">
        <f>23416+6800+28325+6800+17000</f>
        <v>82341</v>
      </c>
      <c r="AP173" s="25">
        <f>82341</f>
        <v>82341</v>
      </c>
      <c r="AQ173" s="25">
        <v>0</v>
      </c>
      <c r="AR173" s="25"/>
      <c r="AS173" s="25">
        <v>52</v>
      </c>
      <c r="AT173" s="25" t="s">
        <v>1440</v>
      </c>
    </row>
    <row r="174" spans="1:46" x14ac:dyDescent="0.15">
      <c r="A174" s="54">
        <v>41552</v>
      </c>
      <c r="B174" s="11" t="s">
        <v>1441</v>
      </c>
      <c r="C174" s="11" t="s">
        <v>1442</v>
      </c>
      <c r="D174" s="11" t="s">
        <v>1443</v>
      </c>
      <c r="E174" s="11" t="s">
        <v>1323</v>
      </c>
      <c r="F174" s="11" t="s">
        <v>1444</v>
      </c>
      <c r="G174" s="11" t="s">
        <v>1325</v>
      </c>
      <c r="H174" s="11" t="s">
        <v>1445</v>
      </c>
      <c r="I174" s="11" t="s">
        <v>1446</v>
      </c>
      <c r="J174" s="11" t="s">
        <v>1447</v>
      </c>
      <c r="K174" s="11" t="s">
        <v>559</v>
      </c>
      <c r="L174" s="11"/>
      <c r="M174" s="11">
        <v>14920000</v>
      </c>
      <c r="N174" s="11">
        <f>28090783.74+23448433.68+1649187.29</f>
        <v>53188404.710000001</v>
      </c>
      <c r="O174" s="11"/>
      <c r="P174" s="11"/>
      <c r="Q174" s="15" t="s">
        <v>1448</v>
      </c>
      <c r="R174" s="16">
        <v>41739</v>
      </c>
      <c r="S174" s="11">
        <v>4476</v>
      </c>
      <c r="T174" s="11"/>
      <c r="U174" s="11" t="s">
        <v>573</v>
      </c>
      <c r="V174" s="17">
        <v>2.5000000000000001E-2</v>
      </c>
      <c r="W174" s="11">
        <f t="shared" ref="W174:W183" si="51">(M174+N174)*V174</f>
        <v>1702710.1177500002</v>
      </c>
      <c r="X174" s="11">
        <f>3347+300000+300000+500000</f>
        <v>1103347</v>
      </c>
      <c r="Y174" s="11">
        <f>1103347</f>
        <v>1103347</v>
      </c>
      <c r="Z174" s="11">
        <f>W174-Y174</f>
        <v>599363.11775000021</v>
      </c>
      <c r="AA174" s="11">
        <f>2984000+4016000+8000000</f>
        <v>15000000</v>
      </c>
      <c r="AB174" s="11">
        <f>15000000</f>
        <v>15000000</v>
      </c>
      <c r="AC174" s="11">
        <v>14978500</v>
      </c>
      <c r="AD174" s="11">
        <v>14978500</v>
      </c>
      <c r="AE174" s="18">
        <f t="shared" si="49"/>
        <v>0.2199214629057489</v>
      </c>
      <c r="AF174" s="11">
        <f>2799840+1011505+306677.36+100000+200000+500000+400000+3399384.4+100000+500000+300000+800000+100000+1169995.8+99600</f>
        <v>11787002.560000001</v>
      </c>
      <c r="AG174" s="11">
        <f>11787002.56</f>
        <v>11787002.560000001</v>
      </c>
      <c r="AH174" s="11">
        <f>2837840-2+1011505+306677.36+100000+200000+500000+400000+3671384.4+100000+500000+300000+800000+100000+1169995.8+99600</f>
        <v>12097000.560000001</v>
      </c>
      <c r="AI174" s="11"/>
      <c r="AJ174" s="11"/>
      <c r="AK174" s="11"/>
      <c r="AL174" s="11">
        <f>12097000.56</f>
        <v>12097000.560000001</v>
      </c>
      <c r="AM174" s="17">
        <v>3.4000000000000002E-2</v>
      </c>
      <c r="AN174" s="17">
        <f t="shared" si="44"/>
        <v>510000.00000000006</v>
      </c>
      <c r="AO174" s="11">
        <f>101456+136544+272000</f>
        <v>510000</v>
      </c>
      <c r="AP174" s="11">
        <f>510000</f>
        <v>510000</v>
      </c>
      <c r="AQ174" s="11">
        <f t="shared" si="38"/>
        <v>0</v>
      </c>
      <c r="AR174" s="11"/>
      <c r="AS174" s="11">
        <v>210</v>
      </c>
      <c r="AT174" s="11" t="s">
        <v>1311</v>
      </c>
    </row>
    <row r="175" spans="1:46" x14ac:dyDescent="0.15">
      <c r="A175" s="54">
        <v>41562</v>
      </c>
      <c r="B175" s="11" t="s">
        <v>1449</v>
      </c>
      <c r="C175" s="11" t="s">
        <v>285</v>
      </c>
      <c r="D175" s="11" t="s">
        <v>1450</v>
      </c>
      <c r="E175" s="11" t="s">
        <v>1323</v>
      </c>
      <c r="F175" s="11" t="s">
        <v>1324</v>
      </c>
      <c r="G175" s="11" t="s">
        <v>1306</v>
      </c>
      <c r="H175" s="11" t="s">
        <v>1451</v>
      </c>
      <c r="I175" s="11" t="s">
        <v>1452</v>
      </c>
      <c r="J175" s="11" t="s">
        <v>1453</v>
      </c>
      <c r="K175" s="11" t="s">
        <v>680</v>
      </c>
      <c r="L175" s="11"/>
      <c r="M175" s="11">
        <v>126591039.39</v>
      </c>
      <c r="N175" s="11"/>
      <c r="O175" s="11"/>
      <c r="P175" s="11"/>
      <c r="Q175" s="15"/>
      <c r="R175" s="16"/>
      <c r="S175" s="11"/>
      <c r="T175" s="11"/>
      <c r="U175" s="11" t="s">
        <v>573</v>
      </c>
      <c r="V175" s="17">
        <v>0.02</v>
      </c>
      <c r="W175" s="11">
        <f t="shared" si="51"/>
        <v>2531820.7878</v>
      </c>
      <c r="X175" s="11">
        <f>1339360.2+703496.86+39149.8+235277</f>
        <v>2317283.8600000003</v>
      </c>
      <c r="Y175" s="11">
        <f>2317283.86</f>
        <v>2317283.86</v>
      </c>
      <c r="Z175" s="11">
        <f>W175-Y175</f>
        <v>214536.92780000018</v>
      </c>
      <c r="AA175" s="11">
        <f>32318003.98+7487579.48+599890+2762001</f>
        <v>43167474.460000001</v>
      </c>
      <c r="AB175" s="11">
        <f>43167474.46</f>
        <v>43167474.460000001</v>
      </c>
      <c r="AC175" s="11">
        <v>43167473.980000004</v>
      </c>
      <c r="AD175" s="11">
        <v>43167473.979999997</v>
      </c>
      <c r="AE175" s="18">
        <f t="shared" si="49"/>
        <v>0.34099944346779726</v>
      </c>
      <c r="AF175" s="11">
        <f>199323.2+5003300+102990.62+10939520.43+564261.64+91962.38+55000+124528.5+200000+1692.31+2696+94548.36+5000000+100000+2470911.34+30638.5+48000+133861.59+48000+13249.2+47400+253446.7+404194.02+60000+132819.81+224650.12+210401.67+709000+122388+121500+168821+146733.06+1132694.12+60000+92032.7+58869+96739.43+485206.03+60952+20000+85277+25895.7+109915.02+1701463.9+1317911.4+101000+20000+41357+961000+28200+409572.33+361357+877304.12+136980.44</f>
        <v>36009565.639999986</v>
      </c>
      <c r="AG175" s="11">
        <f>35872585.2+136980.44</f>
        <v>36009565.640000001</v>
      </c>
      <c r="AH175" s="11">
        <f>1216305.63+352532.2+5003300+242990.62+10939520.43+150000+564261.64+91962.38+814741+65352+55000+124528.5+200000+1692.31+2696+680000+400000+231107.46+94548.36+5000000+207653+100100+2470911.34+291138.5+48000+133861.59+48000+13249.2+47400+253446.7+404194.02+60000+132819.81+224650.12+210401.67+360000+709000+122388+121500+57385.6+168821+146733.06+1132694.12+60000+92032.7+58869+96739.43+485206.03+267000+60952+20000+40000+85277+25895.7+109915.02+1701463.9+131791.14+7916.37+101000+20000+41357+961000+28200+409572.33+409157+400000+173234.34+877304.12+136980.44+411841.09</f>
        <v>40907590.870000005</v>
      </c>
      <c r="AI175" s="11"/>
      <c r="AJ175" s="11"/>
      <c r="AK175" s="11"/>
      <c r="AL175" s="11">
        <f>40358769.34+136980.44+411841.09</f>
        <v>40907590.870000005</v>
      </c>
      <c r="AM175" s="17">
        <v>3.3599999999999998E-2</v>
      </c>
      <c r="AN175" s="17">
        <f t="shared" si="44"/>
        <v>1450427.1418559998</v>
      </c>
      <c r="AO175" s="11"/>
      <c r="AP175" s="11"/>
      <c r="AQ175" s="11"/>
      <c r="AR175" s="11"/>
      <c r="AS175" s="11">
        <v>530</v>
      </c>
      <c r="AT175" s="11" t="s">
        <v>1357</v>
      </c>
    </row>
    <row r="176" spans="1:46" x14ac:dyDescent="0.15">
      <c r="A176" s="54">
        <v>41565</v>
      </c>
      <c r="B176" s="11" t="s">
        <v>1454</v>
      </c>
      <c r="C176" s="11" t="s">
        <v>287</v>
      </c>
      <c r="D176" s="11" t="s">
        <v>1455</v>
      </c>
      <c r="E176" s="11" t="s">
        <v>1305</v>
      </c>
      <c r="F176" s="11" t="s">
        <v>1360</v>
      </c>
      <c r="G176" s="11" t="s">
        <v>1315</v>
      </c>
      <c r="H176" s="11" t="s">
        <v>1361</v>
      </c>
      <c r="I176" s="11" t="s">
        <v>1362</v>
      </c>
      <c r="J176" s="11" t="s">
        <v>1361</v>
      </c>
      <c r="K176" s="11" t="s">
        <v>1356</v>
      </c>
      <c r="L176" s="11"/>
      <c r="M176" s="11">
        <v>5992383</v>
      </c>
      <c r="N176" s="11"/>
      <c r="O176" s="11"/>
      <c r="P176" s="11"/>
      <c r="Q176" s="15"/>
      <c r="R176" s="16"/>
      <c r="S176" s="11"/>
      <c r="T176" s="11"/>
      <c r="U176" s="11" t="s">
        <v>1320</v>
      </c>
      <c r="V176" s="17">
        <v>0.03</v>
      </c>
      <c r="W176" s="11">
        <f t="shared" si="51"/>
        <v>179771.49</v>
      </c>
      <c r="X176" s="11">
        <f>54370+75401</f>
        <v>129771</v>
      </c>
      <c r="Y176" s="11">
        <f>129771</f>
        <v>129771</v>
      </c>
      <c r="Z176" s="11">
        <f>W176-Y176</f>
        <v>50000.489999999991</v>
      </c>
      <c r="AA176" s="11">
        <f>599238.3+1153533.7+2441896</f>
        <v>4194668</v>
      </c>
      <c r="AB176" s="11">
        <f>4194668</f>
        <v>4194668</v>
      </c>
      <c r="AC176" s="11">
        <v>4194668</v>
      </c>
      <c r="AD176" s="11">
        <v>4194668</v>
      </c>
      <c r="AE176" s="18">
        <f t="shared" si="49"/>
        <v>0.69999998331214808</v>
      </c>
      <c r="AF176" s="11">
        <f>9000+432000+455000+233980+150000+40000+233980+759450+999900+199980+30000</f>
        <v>3543290</v>
      </c>
      <c r="AG176" s="11">
        <f>3313310+199980+30000</f>
        <v>3543290</v>
      </c>
      <c r="AH176" s="11">
        <f>129314.17+432000+494104.79+233980+150000+60000+40000+233980+842230.28+999900+199980+30000</f>
        <v>3845489.24</v>
      </c>
      <c r="AI176" s="11"/>
      <c r="AJ176" s="11"/>
      <c r="AK176" s="11"/>
      <c r="AL176" s="11">
        <f>3615509.24+199980+30000</f>
        <v>3845489.24</v>
      </c>
      <c r="AM176" s="17">
        <v>3.7400000000000003E-2</v>
      </c>
      <c r="AN176" s="17">
        <f t="shared" si="44"/>
        <v>156880.58320000002</v>
      </c>
      <c r="AO176" s="11"/>
      <c r="AP176" s="11"/>
      <c r="AQ176" s="11"/>
      <c r="AR176" s="11"/>
      <c r="AS176" s="11">
        <v>66</v>
      </c>
      <c r="AT176" s="11" t="s">
        <v>1357</v>
      </c>
    </row>
    <row r="177" spans="1:46" x14ac:dyDescent="0.15">
      <c r="A177" s="54">
        <v>41579</v>
      </c>
      <c r="B177" s="11" t="s">
        <v>1456</v>
      </c>
      <c r="C177" s="11" t="s">
        <v>293</v>
      </c>
      <c r="D177" s="11" t="s">
        <v>1457</v>
      </c>
      <c r="E177" s="11" t="s">
        <v>1305</v>
      </c>
      <c r="F177" s="11" t="s">
        <v>1458</v>
      </c>
      <c r="G177" s="11" t="s">
        <v>1325</v>
      </c>
      <c r="H177" s="11" t="s">
        <v>1459</v>
      </c>
      <c r="I177" s="11" t="s">
        <v>637</v>
      </c>
      <c r="J177" s="11" t="s">
        <v>1391</v>
      </c>
      <c r="K177" s="11" t="s">
        <v>559</v>
      </c>
      <c r="L177" s="11"/>
      <c r="M177" s="11">
        <v>3117195.98</v>
      </c>
      <c r="N177" s="11"/>
      <c r="O177" s="11"/>
      <c r="P177" s="11"/>
      <c r="Q177" s="15" t="s">
        <v>1460</v>
      </c>
      <c r="R177" s="16">
        <v>41627</v>
      </c>
      <c r="S177" s="11">
        <v>936</v>
      </c>
      <c r="T177" s="11"/>
      <c r="U177" s="11" t="s">
        <v>1320</v>
      </c>
      <c r="V177" s="17">
        <v>3.5999999999999997E-2</v>
      </c>
      <c r="W177" s="11">
        <f t="shared" si="51"/>
        <v>112219.05527999999</v>
      </c>
      <c r="X177" s="11">
        <f>112219</f>
        <v>112219</v>
      </c>
      <c r="Y177" s="11">
        <f>112219</f>
        <v>112219</v>
      </c>
      <c r="Z177" s="11">
        <v>0</v>
      </c>
      <c r="AA177" s="11">
        <f>620000+935000</f>
        <v>1555000</v>
      </c>
      <c r="AB177" s="11">
        <f>1555000</f>
        <v>1555000</v>
      </c>
      <c r="AC177" s="11">
        <v>1520000</v>
      </c>
      <c r="AD177" s="11">
        <v>1520000</v>
      </c>
      <c r="AE177" s="18">
        <f t="shared" si="49"/>
        <v>0.48761772110331031</v>
      </c>
      <c r="AF177" s="11">
        <f>3740+113280+20000+460000+708975.94+93503.7+50000</f>
        <v>1449499.64</v>
      </c>
      <c r="AG177" s="11">
        <f>1449499.64</f>
        <v>1449499.64</v>
      </c>
      <c r="AH177" s="11">
        <f>3740+21080+113280+100000-100000+20000+460000+740765.94+93503.7+50000</f>
        <v>1502369.64</v>
      </c>
      <c r="AI177" s="11"/>
      <c r="AJ177" s="11"/>
      <c r="AK177" s="11"/>
      <c r="AL177" s="11">
        <f>1502369.64</f>
        <v>1502369.64</v>
      </c>
      <c r="AM177" s="17">
        <v>3.4000000000000002E-2</v>
      </c>
      <c r="AN177" s="17">
        <f t="shared" si="44"/>
        <v>52870.000000000007</v>
      </c>
      <c r="AO177" s="11">
        <f>21080+31790</f>
        <v>52870</v>
      </c>
      <c r="AP177" s="11">
        <f>52870</f>
        <v>52870</v>
      </c>
      <c r="AQ177" s="11">
        <v>0</v>
      </c>
      <c r="AR177" s="11"/>
      <c r="AS177" s="11">
        <v>35</v>
      </c>
      <c r="AT177" s="11" t="s">
        <v>1461</v>
      </c>
    </row>
    <row r="178" spans="1:46" x14ac:dyDescent="0.15">
      <c r="A178" s="54">
        <v>41599</v>
      </c>
      <c r="B178" s="11" t="s">
        <v>1462</v>
      </c>
      <c r="C178" s="11" t="s">
        <v>1463</v>
      </c>
      <c r="D178" s="11" t="s">
        <v>1464</v>
      </c>
      <c r="E178" s="11" t="s">
        <v>1305</v>
      </c>
      <c r="F178" s="11" t="s">
        <v>1465</v>
      </c>
      <c r="G178" s="11" t="s">
        <v>1306</v>
      </c>
      <c r="H178" s="11" t="s">
        <v>1466</v>
      </c>
      <c r="I178" s="11" t="s">
        <v>1467</v>
      </c>
      <c r="J178" s="11" t="s">
        <v>1468</v>
      </c>
      <c r="K178" s="11" t="s">
        <v>559</v>
      </c>
      <c r="L178" s="11"/>
      <c r="M178" s="11">
        <v>5811890</v>
      </c>
      <c r="N178" s="11"/>
      <c r="O178" s="11"/>
      <c r="P178" s="11"/>
      <c r="Q178" s="15" t="s">
        <v>1469</v>
      </c>
      <c r="R178" s="16">
        <v>41599</v>
      </c>
      <c r="S178" s="11">
        <f>562+588+594</f>
        <v>1744</v>
      </c>
      <c r="T178" s="11"/>
      <c r="U178" s="11" t="s">
        <v>1344</v>
      </c>
      <c r="V178" s="17">
        <v>0.04</v>
      </c>
      <c r="W178" s="11">
        <f t="shared" si="51"/>
        <v>232475.6</v>
      </c>
      <c r="X178" s="11">
        <f>232476</f>
        <v>232476</v>
      </c>
      <c r="Y178" s="11">
        <f>232476</f>
        <v>232476</v>
      </c>
      <c r="Z178" s="11">
        <v>0</v>
      </c>
      <c r="AA178" s="11">
        <f>200000+2000000</f>
        <v>2200000</v>
      </c>
      <c r="AB178" s="11">
        <f>2200000</f>
        <v>2200000</v>
      </c>
      <c r="AC178" s="11">
        <v>2200000</v>
      </c>
      <c r="AD178" s="11">
        <v>2200000</v>
      </c>
      <c r="AE178" s="18">
        <f t="shared" si="49"/>
        <v>0.37853434941129305</v>
      </c>
      <c r="AF178" s="11">
        <f>6974+86000+100000+1431000</f>
        <v>1623974</v>
      </c>
      <c r="AG178" s="11">
        <f>192974+1431000</f>
        <v>1623974</v>
      </c>
      <c r="AH178" s="11">
        <f>13774+86000+100000+1499000</f>
        <v>1698774</v>
      </c>
      <c r="AI178" s="11"/>
      <c r="AJ178" s="11"/>
      <c r="AK178" s="11"/>
      <c r="AL178" s="11">
        <f>199774+1499000</f>
        <v>1698774</v>
      </c>
      <c r="AM178" s="17">
        <v>3.4000000000000002E-2</v>
      </c>
      <c r="AN178" s="17">
        <f t="shared" si="44"/>
        <v>74800</v>
      </c>
      <c r="AO178" s="11">
        <f>6800+68000</f>
        <v>74800</v>
      </c>
      <c r="AP178" s="11">
        <f>6800+68000</f>
        <v>74800</v>
      </c>
      <c r="AQ178" s="11">
        <f t="shared" si="38"/>
        <v>0</v>
      </c>
      <c r="AR178" s="11"/>
      <c r="AS178" s="11"/>
      <c r="AT178" s="11"/>
    </row>
    <row r="179" spans="1:46" x14ac:dyDescent="0.15">
      <c r="A179" s="54">
        <v>41583</v>
      </c>
      <c r="B179" s="11" t="s">
        <v>1470</v>
      </c>
      <c r="C179" s="11" t="s">
        <v>1471</v>
      </c>
      <c r="D179" s="11" t="s">
        <v>1472</v>
      </c>
      <c r="E179" s="11" t="s">
        <v>1323</v>
      </c>
      <c r="F179" s="11" t="s">
        <v>1473</v>
      </c>
      <c r="G179" s="11" t="s">
        <v>1325</v>
      </c>
      <c r="H179" s="11" t="s">
        <v>1340</v>
      </c>
      <c r="I179" s="11" t="s">
        <v>1474</v>
      </c>
      <c r="J179" s="11" t="s">
        <v>1340</v>
      </c>
      <c r="K179" s="11" t="s">
        <v>559</v>
      </c>
      <c r="L179" s="11"/>
      <c r="M179" s="11">
        <v>76467</v>
      </c>
      <c r="N179" s="11">
        <v>479</v>
      </c>
      <c r="O179" s="11"/>
      <c r="P179" s="11"/>
      <c r="Q179" s="15" t="s">
        <v>1475</v>
      </c>
      <c r="R179" s="16">
        <v>41657</v>
      </c>
      <c r="S179" s="11">
        <v>23</v>
      </c>
      <c r="T179" s="11"/>
      <c r="U179" s="11" t="s">
        <v>1344</v>
      </c>
      <c r="V179" s="17">
        <v>3.5999999999999997E-2</v>
      </c>
      <c r="W179" s="11">
        <f t="shared" si="51"/>
        <v>2770.0559999999996</v>
      </c>
      <c r="X179" s="11">
        <f>2753</f>
        <v>2753</v>
      </c>
      <c r="Y179" s="11">
        <f>2753</f>
        <v>2753</v>
      </c>
      <c r="Z179" s="11">
        <f>W179-Y179</f>
        <v>17.055999999999585</v>
      </c>
      <c r="AA179" s="11">
        <f>54000+22946</f>
        <v>76946</v>
      </c>
      <c r="AB179" s="11">
        <f>76946</f>
        <v>76946</v>
      </c>
      <c r="AC179" s="11">
        <v>54000</v>
      </c>
      <c r="AD179" s="11">
        <v>54000</v>
      </c>
      <c r="AE179" s="18">
        <f t="shared" si="49"/>
        <v>0.70179086632183607</v>
      </c>
      <c r="AF179" s="11">
        <f>50000</f>
        <v>50000</v>
      </c>
      <c r="AG179" s="11">
        <f>50000</f>
        <v>50000</v>
      </c>
      <c r="AH179" s="11">
        <f>1836+50000+780</f>
        <v>52616</v>
      </c>
      <c r="AI179" s="11"/>
      <c r="AJ179" s="11"/>
      <c r="AK179" s="11"/>
      <c r="AL179" s="11">
        <f>52616</f>
        <v>52616</v>
      </c>
      <c r="AM179" s="17">
        <v>3.4000000000000002E-2</v>
      </c>
      <c r="AN179" s="17">
        <f t="shared" si="44"/>
        <v>2616.1640000000002</v>
      </c>
      <c r="AO179" s="11">
        <f>1836+780</f>
        <v>2616</v>
      </c>
      <c r="AP179" s="11">
        <f>2616</f>
        <v>2616</v>
      </c>
      <c r="AQ179" s="11">
        <v>0</v>
      </c>
      <c r="AR179" s="11"/>
      <c r="AS179" s="11"/>
      <c r="AT179" s="11"/>
    </row>
    <row r="180" spans="1:46" x14ac:dyDescent="0.15">
      <c r="A180" s="54">
        <v>41592</v>
      </c>
      <c r="B180" s="11" t="s">
        <v>1476</v>
      </c>
      <c r="C180" s="11" t="s">
        <v>299</v>
      </c>
      <c r="D180" s="11" t="s">
        <v>1477</v>
      </c>
      <c r="E180" s="11" t="s">
        <v>1323</v>
      </c>
      <c r="F180" s="11" t="s">
        <v>1478</v>
      </c>
      <c r="G180" s="11" t="s">
        <v>1479</v>
      </c>
      <c r="H180" s="11" t="s">
        <v>1309</v>
      </c>
      <c r="I180" s="25" t="s">
        <v>1480</v>
      </c>
      <c r="J180" s="25" t="s">
        <v>1309</v>
      </c>
      <c r="K180" s="11" t="s">
        <v>1319</v>
      </c>
      <c r="L180" s="11"/>
      <c r="M180" s="11">
        <v>3058486</v>
      </c>
      <c r="N180" s="11"/>
      <c r="O180" s="11"/>
      <c r="P180" s="11"/>
      <c r="Q180" s="15" t="s">
        <v>1481</v>
      </c>
      <c r="R180" s="16">
        <v>41596</v>
      </c>
      <c r="S180" s="11">
        <v>918</v>
      </c>
      <c r="T180" s="11"/>
      <c r="U180" s="11" t="s">
        <v>1344</v>
      </c>
      <c r="V180" s="17">
        <v>3.5999999999999997E-2</v>
      </c>
      <c r="W180" s="11">
        <f t="shared" si="51"/>
        <v>110105.49599999998</v>
      </c>
      <c r="X180" s="11">
        <f>110105.36</f>
        <v>110105.36</v>
      </c>
      <c r="Y180" s="11">
        <f>110105.36</f>
        <v>110105.36</v>
      </c>
      <c r="Z180" s="11">
        <v>0</v>
      </c>
      <c r="AA180" s="11">
        <f>2140940.2</f>
        <v>2140940.2000000002</v>
      </c>
      <c r="AB180" s="11">
        <f>2140940.2</f>
        <v>2140940.2000000002</v>
      </c>
      <c r="AC180" s="11">
        <v>2140940.2000000002</v>
      </c>
      <c r="AD180" s="11">
        <v>2140940.2000000002</v>
      </c>
      <c r="AE180" s="18">
        <f t="shared" si="49"/>
        <v>0.70000000000000007</v>
      </c>
      <c r="AF180" s="11">
        <f>662597.44+76520+217382+144519+3713.5+549993.7+19281+101637+180000</f>
        <v>1955643.64</v>
      </c>
      <c r="AG180" s="11">
        <f>1955643.64</f>
        <v>1955643.64</v>
      </c>
      <c r="AH180" s="11">
        <f>662597.44+3670+147171.03+217387+144519+549993.7+17074+100000+180000</f>
        <v>2022412.17</v>
      </c>
      <c r="AI180" s="11">
        <f>714</f>
        <v>714</v>
      </c>
      <c r="AJ180" s="11">
        <f>2016.5+500+500</f>
        <v>3016.5</v>
      </c>
      <c r="AK180" s="11">
        <f>983+1137+1181+526</f>
        <v>3827</v>
      </c>
      <c r="AL180" s="11">
        <f>2022412.17+714+3016.5+3827</f>
        <v>2029969.67</v>
      </c>
      <c r="AM180" s="17"/>
      <c r="AN180" s="17">
        <f t="shared" si="44"/>
        <v>0</v>
      </c>
      <c r="AO180" s="11"/>
      <c r="AP180" s="11"/>
      <c r="AQ180" s="11"/>
      <c r="AR180" s="11"/>
      <c r="AS180" s="11">
        <v>30</v>
      </c>
      <c r="AT180" s="11" t="s">
        <v>1311</v>
      </c>
    </row>
    <row r="181" spans="1:46" x14ac:dyDescent="0.15">
      <c r="A181" s="54">
        <v>41596</v>
      </c>
      <c r="B181" s="11" t="s">
        <v>1482</v>
      </c>
      <c r="C181" s="11" t="s">
        <v>301</v>
      </c>
      <c r="D181" s="11" t="s">
        <v>1483</v>
      </c>
      <c r="E181" s="11" t="s">
        <v>1323</v>
      </c>
      <c r="F181" s="11" t="s">
        <v>1484</v>
      </c>
      <c r="G181" s="11" t="s">
        <v>1325</v>
      </c>
      <c r="H181" s="11" t="s">
        <v>1340</v>
      </c>
      <c r="I181" s="19" t="s">
        <v>1474</v>
      </c>
      <c r="J181" s="19" t="s">
        <v>1340</v>
      </c>
      <c r="K181" s="19" t="s">
        <v>559</v>
      </c>
      <c r="L181" s="11"/>
      <c r="M181" s="11">
        <v>12067070</v>
      </c>
      <c r="N181" s="11"/>
      <c r="O181" s="11"/>
      <c r="P181" s="11"/>
      <c r="Q181" s="15" t="s">
        <v>1485</v>
      </c>
      <c r="R181" s="16">
        <v>41795</v>
      </c>
      <c r="S181" s="11">
        <v>3621</v>
      </c>
      <c r="T181" s="11"/>
      <c r="U181" s="11" t="s">
        <v>600</v>
      </c>
      <c r="V181" s="17">
        <v>0.03</v>
      </c>
      <c r="W181" s="11">
        <f t="shared" si="51"/>
        <v>362012.1</v>
      </c>
      <c r="X181" s="11"/>
      <c r="Y181" s="11"/>
      <c r="Z181" s="11">
        <f>W181-Y181</f>
        <v>362012.1</v>
      </c>
      <c r="AA181" s="11"/>
      <c r="AB181" s="11"/>
      <c r="AC181" s="11">
        <v>0</v>
      </c>
      <c r="AD181" s="11">
        <v>0</v>
      </c>
      <c r="AE181" s="18"/>
      <c r="AF181" s="11"/>
      <c r="AG181" s="11"/>
      <c r="AH181" s="11"/>
      <c r="AI181" s="11"/>
      <c r="AJ181" s="11"/>
      <c r="AK181" s="11"/>
      <c r="AL181" s="11"/>
      <c r="AM181" s="17">
        <v>3.4000000000000002E-2</v>
      </c>
      <c r="AN181" s="17">
        <f t="shared" si="44"/>
        <v>0</v>
      </c>
      <c r="AO181" s="11"/>
      <c r="AP181" s="11"/>
      <c r="AQ181" s="11">
        <f>AN181-AP181</f>
        <v>0</v>
      </c>
      <c r="AR181" s="11"/>
      <c r="AS181" s="11">
        <v>140</v>
      </c>
      <c r="AT181" s="11" t="s">
        <v>1486</v>
      </c>
    </row>
    <row r="182" spans="1:46" x14ac:dyDescent="0.15">
      <c r="A182" s="54">
        <v>41609</v>
      </c>
      <c r="B182" s="11" t="s">
        <v>1487</v>
      </c>
      <c r="C182" s="11" t="s">
        <v>312</v>
      </c>
      <c r="D182" s="11" t="s">
        <v>1488</v>
      </c>
      <c r="E182" s="11" t="s">
        <v>1323</v>
      </c>
      <c r="F182" s="11" t="s">
        <v>1489</v>
      </c>
      <c r="G182" s="11" t="s">
        <v>1490</v>
      </c>
      <c r="H182" s="11" t="s">
        <v>1491</v>
      </c>
      <c r="I182" s="11" t="s">
        <v>1492</v>
      </c>
      <c r="J182" s="11" t="s">
        <v>1491</v>
      </c>
      <c r="K182" s="11" t="s">
        <v>1319</v>
      </c>
      <c r="L182" s="11"/>
      <c r="M182" s="11">
        <v>11000000</v>
      </c>
      <c r="N182" s="11"/>
      <c r="O182" s="11"/>
      <c r="P182" s="11"/>
      <c r="Q182" s="15" t="s">
        <v>1493</v>
      </c>
      <c r="R182" s="16">
        <v>41614</v>
      </c>
      <c r="S182" s="11">
        <v>3300</v>
      </c>
      <c r="T182" s="11"/>
      <c r="U182" s="11" t="s">
        <v>573</v>
      </c>
      <c r="V182" s="17">
        <v>0.03</v>
      </c>
      <c r="W182" s="11">
        <f t="shared" si="51"/>
        <v>330000</v>
      </c>
      <c r="X182" s="11">
        <f>330000</f>
        <v>330000</v>
      </c>
      <c r="Y182" s="11">
        <f>330000</f>
        <v>330000</v>
      </c>
      <c r="Z182" s="11">
        <v>0</v>
      </c>
      <c r="AA182" s="11">
        <f>500000+2000000+2000000+1000000</f>
        <v>5500000</v>
      </c>
      <c r="AB182" s="11">
        <f>5500000</f>
        <v>5500000</v>
      </c>
      <c r="AC182" s="11">
        <v>5000000</v>
      </c>
      <c r="AD182" s="11">
        <v>5000000</v>
      </c>
      <c r="AE182" s="18">
        <f t="shared" ref="AE182:AE189" si="52">AC182/(M182+N182)</f>
        <v>0.45454545454545453</v>
      </c>
      <c r="AF182" s="11">
        <f>480000+900000+420000+1000000+500000+150000+400000+500000+250000+80000</f>
        <v>4680000</v>
      </c>
      <c r="AG182" s="11">
        <f>4680000</f>
        <v>4680000</v>
      </c>
      <c r="AH182" s="11">
        <f>480000+900000+470000+1000000+500000+150000+484750+601700+250000+80000</f>
        <v>4916450</v>
      </c>
      <c r="AI182" s="11"/>
      <c r="AJ182" s="11"/>
      <c r="AK182" s="11"/>
      <c r="AL182" s="11">
        <f>4916450</f>
        <v>4916450</v>
      </c>
      <c r="AM182" s="17"/>
      <c r="AN182" s="17">
        <f t="shared" si="44"/>
        <v>0</v>
      </c>
      <c r="AO182" s="11"/>
      <c r="AP182" s="11"/>
      <c r="AQ182" s="11">
        <f t="shared" ref="AQ182:AQ183" si="53">AN182-AP182</f>
        <v>0</v>
      </c>
      <c r="AR182" s="11"/>
      <c r="AS182" s="11">
        <v>120</v>
      </c>
      <c r="AT182" s="11" t="s">
        <v>1494</v>
      </c>
    </row>
    <row r="183" spans="1:46" x14ac:dyDescent="0.15">
      <c r="A183" s="54">
        <v>41609</v>
      </c>
      <c r="B183" s="11" t="s">
        <v>1495</v>
      </c>
      <c r="C183" s="11" t="s">
        <v>324</v>
      </c>
      <c r="D183" s="11" t="s">
        <v>1496</v>
      </c>
      <c r="E183" s="11" t="s">
        <v>1323</v>
      </c>
      <c r="F183" s="11" t="s">
        <v>1324</v>
      </c>
      <c r="G183" s="11" t="s">
        <v>1325</v>
      </c>
      <c r="H183" s="11" t="s">
        <v>1497</v>
      </c>
      <c r="I183" s="11" t="s">
        <v>1498</v>
      </c>
      <c r="J183" s="11" t="s">
        <v>1497</v>
      </c>
      <c r="K183" s="11" t="s">
        <v>559</v>
      </c>
      <c r="L183" s="11"/>
      <c r="M183" s="11">
        <v>924545</v>
      </c>
      <c r="N183" s="11"/>
      <c r="O183" s="11"/>
      <c r="P183" s="11"/>
      <c r="Q183" s="15" t="s">
        <v>1499</v>
      </c>
      <c r="R183" s="16">
        <v>41625</v>
      </c>
      <c r="S183" s="11">
        <v>278</v>
      </c>
      <c r="T183" s="11"/>
      <c r="U183" s="11" t="s">
        <v>573</v>
      </c>
      <c r="V183" s="17">
        <v>0.03</v>
      </c>
      <c r="W183" s="11">
        <f t="shared" si="51"/>
        <v>27736.35</v>
      </c>
      <c r="X183" s="11">
        <f>2200</f>
        <v>2200</v>
      </c>
      <c r="Y183" s="11">
        <f>2200</f>
        <v>2200</v>
      </c>
      <c r="Z183" s="11">
        <f>W183-Y183</f>
        <v>25536.35</v>
      </c>
      <c r="AA183" s="11">
        <f>300000</f>
        <v>300000</v>
      </c>
      <c r="AB183" s="11">
        <f>300000</f>
        <v>300000</v>
      </c>
      <c r="AC183" s="11">
        <v>300000</v>
      </c>
      <c r="AD183" s="11">
        <v>300000</v>
      </c>
      <c r="AE183" s="18">
        <f t="shared" si="52"/>
        <v>0.32448393534116782</v>
      </c>
      <c r="AF183" s="11">
        <f>200000+2490</f>
        <v>202490</v>
      </c>
      <c r="AG183" s="11">
        <f>202490</f>
        <v>202490</v>
      </c>
      <c r="AH183" s="11">
        <f>10200+200000+9122.49</f>
        <v>219322.49</v>
      </c>
      <c r="AI183" s="11"/>
      <c r="AJ183" s="11"/>
      <c r="AK183" s="11">
        <v>2490</v>
      </c>
      <c r="AL183" s="11">
        <f>219322.49+2490</f>
        <v>221812.49</v>
      </c>
      <c r="AM183" s="17">
        <v>3.4000000000000002E-2</v>
      </c>
      <c r="AN183" s="17">
        <f t="shared" si="44"/>
        <v>10200</v>
      </c>
      <c r="AO183" s="11">
        <f>10200</f>
        <v>10200</v>
      </c>
      <c r="AP183" s="11">
        <f>10200</f>
        <v>10200</v>
      </c>
      <c r="AQ183" s="11">
        <f t="shared" si="53"/>
        <v>0</v>
      </c>
      <c r="AR183" s="11"/>
      <c r="AS183" s="11">
        <v>7</v>
      </c>
      <c r="AT183" s="11" t="s">
        <v>1500</v>
      </c>
    </row>
    <row r="184" spans="1:46" x14ac:dyDescent="0.15">
      <c r="A184" s="54">
        <v>41618</v>
      </c>
      <c r="B184" s="11" t="s">
        <v>1501</v>
      </c>
      <c r="C184" s="11" t="s">
        <v>1502</v>
      </c>
      <c r="D184" s="11" t="s">
        <v>1503</v>
      </c>
      <c r="E184" s="11" t="s">
        <v>1323</v>
      </c>
      <c r="F184" s="11" t="s">
        <v>1504</v>
      </c>
      <c r="G184" s="11" t="s">
        <v>1505</v>
      </c>
      <c r="H184" s="11" t="s">
        <v>1506</v>
      </c>
      <c r="I184" s="11" t="s">
        <v>1507</v>
      </c>
      <c r="J184" s="11" t="s">
        <v>1508</v>
      </c>
      <c r="K184" s="11" t="s">
        <v>1319</v>
      </c>
      <c r="L184" s="11"/>
      <c r="M184" s="11">
        <v>19413696.16</v>
      </c>
      <c r="N184" s="11"/>
      <c r="O184" s="11"/>
      <c r="P184" s="11"/>
      <c r="Q184" s="15" t="s">
        <v>1509</v>
      </c>
      <c r="R184" s="16">
        <v>41739</v>
      </c>
      <c r="S184" s="11">
        <v>5825</v>
      </c>
      <c r="T184" s="11"/>
      <c r="U184" s="11" t="s">
        <v>573</v>
      </c>
      <c r="V184" s="17">
        <v>0.03</v>
      </c>
      <c r="W184" s="11">
        <f t="shared" si="50"/>
        <v>582410.8848</v>
      </c>
      <c r="X184" s="11">
        <f>300000+282411</f>
        <v>582411</v>
      </c>
      <c r="Y184" s="11">
        <f>582411</f>
        <v>582411</v>
      </c>
      <c r="Z184" s="11">
        <v>0</v>
      </c>
      <c r="AA184" s="11">
        <f>7525280+3885465</f>
        <v>11410745</v>
      </c>
      <c r="AB184" s="11">
        <f>11410745</f>
        <v>11410745</v>
      </c>
      <c r="AC184" s="11">
        <v>12320000</v>
      </c>
      <c r="AD184" s="11">
        <v>12320000</v>
      </c>
      <c r="AE184" s="18">
        <f t="shared" si="52"/>
        <v>0.63460352415446475</v>
      </c>
      <c r="AF184" s="11">
        <f>4920213+2600000+3958215.55</f>
        <v>11478428.550000001</v>
      </c>
      <c r="AG184" s="11">
        <f>11478428.55</f>
        <v>11478428.550000001</v>
      </c>
      <c r="AH184" s="11">
        <f>4920213+2600000+3958215.55</f>
        <v>11478428.550000001</v>
      </c>
      <c r="AI184" s="11"/>
      <c r="AJ184" s="11"/>
      <c r="AK184" s="11"/>
      <c r="AL184" s="11">
        <f>11478428.55</f>
        <v>11478428.550000001</v>
      </c>
      <c r="AM184" s="17"/>
      <c r="AN184" s="17"/>
      <c r="AO184" s="11"/>
      <c r="AP184" s="11"/>
      <c r="AQ184" s="11">
        <f t="shared" si="38"/>
        <v>0</v>
      </c>
      <c r="AR184" s="11"/>
      <c r="AS184" s="11"/>
      <c r="AT184" s="11"/>
    </row>
    <row r="185" spans="1:46" x14ac:dyDescent="0.15">
      <c r="A185" s="54">
        <v>41626</v>
      </c>
      <c r="B185" s="11" t="s">
        <v>1510</v>
      </c>
      <c r="C185" s="11" t="s">
        <v>338</v>
      </c>
      <c r="D185" s="11" t="s">
        <v>1511</v>
      </c>
      <c r="E185" s="11" t="s">
        <v>1323</v>
      </c>
      <c r="F185" s="11" t="s">
        <v>1512</v>
      </c>
      <c r="G185" s="11"/>
      <c r="H185" s="11" t="s">
        <v>1326</v>
      </c>
      <c r="I185" s="11" t="s">
        <v>1327</v>
      </c>
      <c r="J185" s="11" t="s">
        <v>1513</v>
      </c>
      <c r="K185" s="11"/>
      <c r="L185" s="11"/>
      <c r="M185" s="11">
        <v>8060000</v>
      </c>
      <c r="N185" s="11"/>
      <c r="O185" s="11"/>
      <c r="P185" s="11"/>
      <c r="Q185" s="15"/>
      <c r="R185" s="16"/>
      <c r="S185" s="11"/>
      <c r="T185" s="11"/>
      <c r="U185" s="11" t="s">
        <v>573</v>
      </c>
      <c r="V185" s="17">
        <v>0.03</v>
      </c>
      <c r="W185" s="11">
        <f t="shared" si="50"/>
        <v>241800</v>
      </c>
      <c r="X185" s="11">
        <f>241800</f>
        <v>241800</v>
      </c>
      <c r="Y185" s="11">
        <f>241800</f>
        <v>241800</v>
      </c>
      <c r="Z185" s="11">
        <f>W185-Y185</f>
        <v>0</v>
      </c>
      <c r="AA185" s="11"/>
      <c r="AB185" s="11"/>
      <c r="AC185" s="11">
        <v>3057158</v>
      </c>
      <c r="AD185" s="11">
        <v>3057158</v>
      </c>
      <c r="AE185" s="18">
        <f t="shared" si="52"/>
        <v>0.37930000000000003</v>
      </c>
      <c r="AF185" s="11">
        <f>1710000+606500+100000+29500+259096.52+60000</f>
        <v>2765096.52</v>
      </c>
      <c r="AG185" s="11">
        <f>2765096.52</f>
        <v>2765096.52</v>
      </c>
      <c r="AH185" s="11">
        <f>1710000+606500+100000+29500+259096.52+60000</f>
        <v>2765096.52</v>
      </c>
      <c r="AI185" s="11"/>
      <c r="AJ185" s="11"/>
      <c r="AK185" s="11"/>
      <c r="AL185" s="11">
        <f>2765096.52</f>
        <v>2765096.52</v>
      </c>
      <c r="AM185" s="17"/>
      <c r="AN185" s="17"/>
      <c r="AO185" s="11"/>
      <c r="AP185" s="11"/>
      <c r="AQ185" s="11">
        <f t="shared" si="38"/>
        <v>0</v>
      </c>
      <c r="AR185" s="11"/>
      <c r="AS185" s="11">
        <v>104</v>
      </c>
      <c r="AT185" s="11" t="s">
        <v>1514</v>
      </c>
    </row>
    <row r="186" spans="1:46" x14ac:dyDescent="0.15">
      <c r="A186" s="54">
        <v>41626</v>
      </c>
      <c r="B186" s="11" t="s">
        <v>1515</v>
      </c>
      <c r="C186" s="11" t="s">
        <v>340</v>
      </c>
      <c r="D186" s="11" t="s">
        <v>1516</v>
      </c>
      <c r="E186" s="11" t="s">
        <v>1298</v>
      </c>
      <c r="F186" s="11" t="s">
        <v>1517</v>
      </c>
      <c r="G186" s="11" t="s">
        <v>1300</v>
      </c>
      <c r="H186" s="11" t="s">
        <v>1518</v>
      </c>
      <c r="I186" s="25" t="s">
        <v>1519</v>
      </c>
      <c r="J186" s="25" t="s">
        <v>1520</v>
      </c>
      <c r="K186" s="11" t="s">
        <v>1521</v>
      </c>
      <c r="L186" s="11"/>
      <c r="M186" s="11">
        <v>229276</v>
      </c>
      <c r="N186" s="11"/>
      <c r="O186" s="11"/>
      <c r="P186" s="11"/>
      <c r="Q186" s="15" t="s">
        <v>1522</v>
      </c>
      <c r="R186" s="16">
        <v>41782</v>
      </c>
      <c r="S186" s="11">
        <v>69</v>
      </c>
      <c r="T186" s="11"/>
      <c r="U186" s="11" t="s">
        <v>1523</v>
      </c>
      <c r="V186" s="17">
        <v>0.03</v>
      </c>
      <c r="W186" s="11">
        <f t="shared" si="50"/>
        <v>6878.28</v>
      </c>
      <c r="X186" s="11"/>
      <c r="Y186" s="11"/>
      <c r="Z186" s="11">
        <f t="shared" ref="Z186:Z187" si="54">W186-Y186</f>
        <v>6878.28</v>
      </c>
      <c r="AA186" s="11">
        <f>91710.76</f>
        <v>91710.76</v>
      </c>
      <c r="AB186" s="11">
        <f>91710.76</f>
        <v>91710.76</v>
      </c>
      <c r="AC186" s="11">
        <v>91710.76</v>
      </c>
      <c r="AD186" s="11">
        <v>91710.76</v>
      </c>
      <c r="AE186" s="18">
        <f t="shared" si="52"/>
        <v>0.40000157015998183</v>
      </c>
      <c r="AF186" s="11">
        <f>61818+1350+299-3118</f>
        <v>60349</v>
      </c>
      <c r="AG186" s="11">
        <f>60349</f>
        <v>60349</v>
      </c>
      <c r="AH186" s="11">
        <f>61818+1350+2990</f>
        <v>66158</v>
      </c>
      <c r="AI186" s="11"/>
      <c r="AJ186" s="11"/>
      <c r="AK186" s="11"/>
      <c r="AL186" s="11">
        <f>66158</f>
        <v>66158</v>
      </c>
      <c r="AM186" s="17">
        <v>3.4000000000000002E-2</v>
      </c>
      <c r="AN186" s="17">
        <f t="shared" ref="AN186:AN215" si="55">AM186*AB186</f>
        <v>3118.1658400000001</v>
      </c>
      <c r="AO186" s="11">
        <f>3118</f>
        <v>3118</v>
      </c>
      <c r="AP186" s="11">
        <f>3118</f>
        <v>3118</v>
      </c>
      <c r="AQ186" s="11">
        <v>0</v>
      </c>
      <c r="AR186" s="11"/>
      <c r="AS186" s="11">
        <v>2</v>
      </c>
      <c r="AT186" s="11" t="s">
        <v>1294</v>
      </c>
    </row>
    <row r="187" spans="1:46" x14ac:dyDescent="0.15">
      <c r="A187" s="54">
        <v>41628</v>
      </c>
      <c r="B187" s="11" t="s">
        <v>1524</v>
      </c>
      <c r="C187" s="11" t="s">
        <v>342</v>
      </c>
      <c r="D187" s="11" t="s">
        <v>1525</v>
      </c>
      <c r="E187" s="11" t="s">
        <v>988</v>
      </c>
      <c r="F187" s="11" t="s">
        <v>1526</v>
      </c>
      <c r="G187" s="11" t="s">
        <v>1527</v>
      </c>
      <c r="H187" s="11" t="s">
        <v>1528</v>
      </c>
      <c r="I187" s="11" t="s">
        <v>1529</v>
      </c>
      <c r="J187" s="11" t="s">
        <v>1530</v>
      </c>
      <c r="K187" s="11" t="s">
        <v>1531</v>
      </c>
      <c r="L187" s="11"/>
      <c r="M187" s="11">
        <v>330000</v>
      </c>
      <c r="N187" s="11"/>
      <c r="O187" s="11"/>
      <c r="P187" s="11"/>
      <c r="Q187" s="15" t="s">
        <v>1532</v>
      </c>
      <c r="R187" s="16">
        <v>41633</v>
      </c>
      <c r="S187" s="11">
        <v>99</v>
      </c>
      <c r="T187" s="11"/>
      <c r="U187" s="11" t="s">
        <v>938</v>
      </c>
      <c r="V187" s="17">
        <v>3.5999999999999997E-2</v>
      </c>
      <c r="W187" s="11">
        <f t="shared" si="50"/>
        <v>11880</v>
      </c>
      <c r="X187" s="11">
        <f>3405.5</f>
        <v>3405.5</v>
      </c>
      <c r="Y187" s="11">
        <f>3405.5</f>
        <v>3405.5</v>
      </c>
      <c r="Z187" s="11">
        <f t="shared" si="54"/>
        <v>8474.5</v>
      </c>
      <c r="AA187" s="11">
        <f>180000</f>
        <v>180000</v>
      </c>
      <c r="AB187" s="11">
        <f>180000</f>
        <v>180000</v>
      </c>
      <c r="AC187" s="11">
        <v>180000</v>
      </c>
      <c r="AD187" s="11">
        <v>180000</v>
      </c>
      <c r="AE187" s="18">
        <f t="shared" si="52"/>
        <v>0.54545454545454541</v>
      </c>
      <c r="AF187" s="11">
        <f>720+170000</f>
        <v>170720</v>
      </c>
      <c r="AG187" s="11">
        <f>170720</f>
        <v>170720</v>
      </c>
      <c r="AH187" s="11">
        <v>176120</v>
      </c>
      <c r="AI187" s="11"/>
      <c r="AJ187" s="11">
        <v>720</v>
      </c>
      <c r="AK187" s="11"/>
      <c r="AL187" s="11">
        <f>176120+720</f>
        <v>176840</v>
      </c>
      <c r="AM187" s="17">
        <v>3.4000000000000002E-2</v>
      </c>
      <c r="AN187" s="17">
        <f t="shared" si="55"/>
        <v>6120</v>
      </c>
      <c r="AO187" s="11">
        <f>6120</f>
        <v>6120</v>
      </c>
      <c r="AP187" s="11">
        <f>6120</f>
        <v>6120</v>
      </c>
      <c r="AQ187" s="11">
        <v>0</v>
      </c>
      <c r="AR187" s="11"/>
      <c r="AS187" s="11">
        <v>5</v>
      </c>
      <c r="AT187" s="11" t="s">
        <v>1494</v>
      </c>
    </row>
    <row r="188" spans="1:46" x14ac:dyDescent="0.15">
      <c r="A188" s="54">
        <v>41640</v>
      </c>
      <c r="B188" s="11" t="s">
        <v>1533</v>
      </c>
      <c r="C188" s="11" t="s">
        <v>1534</v>
      </c>
      <c r="D188" s="11" t="s">
        <v>1535</v>
      </c>
      <c r="E188" s="11" t="s">
        <v>1323</v>
      </c>
      <c r="F188" s="11" t="s">
        <v>1536</v>
      </c>
      <c r="G188" s="11" t="s">
        <v>1537</v>
      </c>
      <c r="H188" s="11" t="s">
        <v>1538</v>
      </c>
      <c r="I188" s="11" t="s">
        <v>1539</v>
      </c>
      <c r="J188" s="11" t="s">
        <v>1538</v>
      </c>
      <c r="K188" s="11" t="s">
        <v>1319</v>
      </c>
      <c r="L188" s="11"/>
      <c r="M188" s="11">
        <v>61225227</v>
      </c>
      <c r="N188" s="11"/>
      <c r="O188" s="11"/>
      <c r="P188" s="11"/>
      <c r="Q188" s="15">
        <v>1251022</v>
      </c>
      <c r="R188" s="16">
        <v>41697</v>
      </c>
      <c r="S188" s="11">
        <v>18368</v>
      </c>
      <c r="T188" s="11"/>
      <c r="U188" s="11" t="s">
        <v>573</v>
      </c>
      <c r="V188" s="17">
        <v>2.5000000000000001E-2</v>
      </c>
      <c r="W188" s="11">
        <f>M188*V188</f>
        <v>1530630.675</v>
      </c>
      <c r="X188" s="11">
        <v>790000</v>
      </c>
      <c r="Y188" s="11">
        <f>790000</f>
        <v>790000</v>
      </c>
      <c r="Z188" s="11">
        <f>W188-X188</f>
        <v>740630.67500000005</v>
      </c>
      <c r="AA188" s="11">
        <f>8100136.9+20024819.28</f>
        <v>28124956.18</v>
      </c>
      <c r="AB188" s="11">
        <f>28124956.18</f>
        <v>28124956.18</v>
      </c>
      <c r="AC188" s="11">
        <v>19687469.329999998</v>
      </c>
      <c r="AD188" s="11">
        <v>19687469.329999998</v>
      </c>
      <c r="AE188" s="18">
        <f t="shared" si="52"/>
        <v>0.32155812717525734</v>
      </c>
      <c r="AF188" s="11">
        <f>1236545.96+390000+1870800+41420+1031680+900000+4417606.38+107690.06+4701758.88</f>
        <v>14697501.280000001</v>
      </c>
      <c r="AG188" s="11">
        <f>9995742.4+4701758.88</f>
        <v>14697501.280000001</v>
      </c>
      <c r="AH188" s="11">
        <f>230000+1236545.96+390000+1870800+403420+700000+1597310.2+642854.78+900000+307403.7+4689770.98+107690.06+4701758.88</f>
        <v>17777554.560000002</v>
      </c>
      <c r="AI188" s="11"/>
      <c r="AJ188" s="11"/>
      <c r="AK188" s="11"/>
      <c r="AL188" s="11">
        <f>13075795.68+4701758.88</f>
        <v>17777554.559999999</v>
      </c>
      <c r="AM188" s="17">
        <v>3.56E-2</v>
      </c>
      <c r="AN188" s="17">
        <f t="shared" si="55"/>
        <v>1001248.440008</v>
      </c>
      <c r="AO188" s="11"/>
      <c r="AP188" s="11"/>
      <c r="AQ188" s="11"/>
      <c r="AR188" s="11"/>
      <c r="AS188" s="11"/>
      <c r="AT188" s="68" t="s">
        <v>1500</v>
      </c>
    </row>
    <row r="189" spans="1:46" x14ac:dyDescent="0.15">
      <c r="A189" s="54">
        <v>41640</v>
      </c>
      <c r="B189" s="11" t="s">
        <v>1540</v>
      </c>
      <c r="C189" s="11" t="s">
        <v>346</v>
      </c>
      <c r="D189" s="11" t="s">
        <v>1541</v>
      </c>
      <c r="E189" s="11" t="s">
        <v>1323</v>
      </c>
      <c r="F189" s="11" t="s">
        <v>1542</v>
      </c>
      <c r="G189" s="11" t="s">
        <v>1325</v>
      </c>
      <c r="H189" s="11" t="s">
        <v>1543</v>
      </c>
      <c r="I189" s="11" t="s">
        <v>1544</v>
      </c>
      <c r="J189" s="11" t="s">
        <v>1543</v>
      </c>
      <c r="K189" s="11" t="s">
        <v>559</v>
      </c>
      <c r="L189" s="11"/>
      <c r="M189" s="11">
        <v>14355608.07</v>
      </c>
      <c r="N189" s="11"/>
      <c r="O189" s="11"/>
      <c r="P189" s="11"/>
      <c r="Q189" s="15" t="s">
        <v>1545</v>
      </c>
      <c r="R189" s="16">
        <v>41703</v>
      </c>
      <c r="S189" s="11">
        <v>4307</v>
      </c>
      <c r="T189" s="11"/>
      <c r="U189" s="11" t="s">
        <v>573</v>
      </c>
      <c r="V189" s="17">
        <v>3.2000000000000001E-2</v>
      </c>
      <c r="W189" s="11">
        <f t="shared" ref="W189:W191" si="56">M189*V189</f>
        <v>459379.45824000001</v>
      </c>
      <c r="X189" s="11">
        <v>459379</v>
      </c>
      <c r="Y189" s="11">
        <v>459379</v>
      </c>
      <c r="Z189" s="11">
        <v>0</v>
      </c>
      <c r="AA189" s="11">
        <f>4306682+4593794.58+1866229</f>
        <v>10766705.58</v>
      </c>
      <c r="AB189" s="11">
        <v>10766705.58</v>
      </c>
      <c r="AC189" s="11">
        <v>10766705.58</v>
      </c>
      <c r="AD189" s="11">
        <v>10766705.58</v>
      </c>
      <c r="AE189" s="18">
        <f t="shared" si="52"/>
        <v>0.74999996708603367</v>
      </c>
      <c r="AF189" s="11">
        <f>200000+779000+732276.6+30310+600000+200000+500000+300000+650079.1+240100+1700000+495000+250000+300000+1063073.9-20000+217397.29</f>
        <v>8237236.8899999997</v>
      </c>
      <c r="AG189" s="11">
        <f>8019839.6+217397.29</f>
        <v>8237236.8899999997</v>
      </c>
      <c r="AH189" s="11">
        <f>996427+214355+779000+732276.6+30310+600000+50000+356189+500000+300000+650079.1+240100+1700000+495000+20000+467459.35+313452+300000+1063073.9-20000+217397.29</f>
        <v>10005119.239999998</v>
      </c>
      <c r="AI189" s="11"/>
      <c r="AJ189" s="11"/>
      <c r="AK189" s="11"/>
      <c r="AL189" s="11">
        <f>9787721.95+217397.29</f>
        <v>10005119.239999998</v>
      </c>
      <c r="AM189" s="17">
        <v>3.4000000000000002E-2</v>
      </c>
      <c r="AN189" s="17">
        <f t="shared" si="55"/>
        <v>366067.98972000001</v>
      </c>
      <c r="AO189" s="11">
        <f>146427+156189+63452</f>
        <v>366068</v>
      </c>
      <c r="AP189" s="11">
        <f>366068</f>
        <v>366068</v>
      </c>
      <c r="AQ189" s="11">
        <v>0</v>
      </c>
      <c r="AR189" s="11"/>
      <c r="AS189" s="11"/>
      <c r="AT189" s="11"/>
    </row>
    <row r="190" spans="1:46" x14ac:dyDescent="0.15">
      <c r="A190" s="54">
        <v>41640</v>
      </c>
      <c r="B190" s="11" t="s">
        <v>1546</v>
      </c>
      <c r="C190" s="11" t="s">
        <v>1547</v>
      </c>
      <c r="D190" s="11" t="s">
        <v>1548</v>
      </c>
      <c r="E190" s="11" t="s">
        <v>1323</v>
      </c>
      <c r="F190" s="11" t="s">
        <v>1549</v>
      </c>
      <c r="G190" s="11" t="s">
        <v>1325</v>
      </c>
      <c r="H190" s="11" t="s">
        <v>1550</v>
      </c>
      <c r="I190" s="11"/>
      <c r="J190" s="11"/>
      <c r="K190" s="11"/>
      <c r="L190" s="11"/>
      <c r="M190" s="11"/>
      <c r="N190" s="11"/>
      <c r="O190" s="11"/>
      <c r="P190" s="11"/>
      <c r="Q190" s="15"/>
      <c r="R190" s="16"/>
      <c r="S190" s="11"/>
      <c r="T190" s="11"/>
      <c r="U190" s="11" t="s">
        <v>573</v>
      </c>
      <c r="V190" s="17"/>
      <c r="W190" s="11">
        <f t="shared" si="56"/>
        <v>0</v>
      </c>
      <c r="X190" s="11"/>
      <c r="Y190" s="11"/>
      <c r="Z190" s="11">
        <f t="shared" ref="Z190:Z191" si="57">W190-X190</f>
        <v>0</v>
      </c>
      <c r="AA190" s="11"/>
      <c r="AB190" s="11"/>
      <c r="AC190" s="11">
        <v>0</v>
      </c>
      <c r="AD190" s="11">
        <v>0</v>
      </c>
      <c r="AE190" s="18"/>
      <c r="AF190" s="11"/>
      <c r="AG190" s="11"/>
      <c r="AH190" s="11"/>
      <c r="AI190" s="11"/>
      <c r="AJ190" s="11"/>
      <c r="AK190" s="11"/>
      <c r="AL190" s="11"/>
      <c r="AM190" s="17"/>
      <c r="AN190" s="17">
        <f t="shared" si="55"/>
        <v>0</v>
      </c>
      <c r="AO190" s="11"/>
      <c r="AP190" s="11"/>
      <c r="AQ190" s="11"/>
      <c r="AR190" s="11"/>
      <c r="AS190" s="11"/>
      <c r="AT190" s="11"/>
    </row>
    <row r="191" spans="1:46" x14ac:dyDescent="0.15">
      <c r="A191" s="54">
        <v>41640</v>
      </c>
      <c r="B191" s="11" t="s">
        <v>1551</v>
      </c>
      <c r="C191" s="11" t="s">
        <v>350</v>
      </c>
      <c r="D191" s="11" t="s">
        <v>1552</v>
      </c>
      <c r="E191" s="11" t="s">
        <v>1323</v>
      </c>
      <c r="F191" s="11" t="s">
        <v>1553</v>
      </c>
      <c r="G191" s="11" t="s">
        <v>1325</v>
      </c>
      <c r="H191" s="11" t="s">
        <v>1554</v>
      </c>
      <c r="I191" s="11" t="s">
        <v>1555</v>
      </c>
      <c r="J191" s="11" t="s">
        <v>1417</v>
      </c>
      <c r="K191" s="11" t="s">
        <v>1521</v>
      </c>
      <c r="L191" s="11"/>
      <c r="M191" s="11">
        <v>42615176.350000001</v>
      </c>
      <c r="N191" s="11"/>
      <c r="O191" s="11"/>
      <c r="P191" s="11"/>
      <c r="Q191" s="15"/>
      <c r="R191" s="16"/>
      <c r="S191" s="11"/>
      <c r="T191" s="11"/>
      <c r="U191" s="11" t="s">
        <v>573</v>
      </c>
      <c r="V191" s="17">
        <v>0.03</v>
      </c>
      <c r="W191" s="11">
        <f t="shared" si="56"/>
        <v>1278455.2904999999</v>
      </c>
      <c r="X191" s="11">
        <f>300000+200000+300000</f>
        <v>800000</v>
      </c>
      <c r="Y191" s="11">
        <f>800000</f>
        <v>800000</v>
      </c>
      <c r="Z191" s="11">
        <f t="shared" si="57"/>
        <v>478455.29049999989</v>
      </c>
      <c r="AA191" s="11">
        <f>2000000+1400000+3100000+3386113.5+8000000</f>
        <v>17886113.5</v>
      </c>
      <c r="AB191" s="11">
        <f>17886113.5</f>
        <v>17886113.5</v>
      </c>
      <c r="AC191" s="11">
        <v>17886113.5</v>
      </c>
      <c r="AD191" s="11">
        <v>17886113.5</v>
      </c>
      <c r="AE191" s="18">
        <f t="shared" ref="AE191:AE197" si="58">AC191/(M191+N191)</f>
        <v>0.41971229575822228</v>
      </c>
      <c r="AF191" s="11">
        <f>1699998.5+50000+935000+571220+93000+400000+937451.2+300000+397471.4+520000+1738100+500000+700000+400000+100000+7248+4143449+1030000+1300000+400000</f>
        <v>16222938.100000001</v>
      </c>
      <c r="AG191" s="11">
        <f>15822938.1+400000</f>
        <v>16222938.1</v>
      </c>
      <c r="AH191" s="11">
        <f>1767998.5+152276.42+1088000-153000+571220+47600+93000+400000+937451.2+300000+70506+502871.4+520000+1853228+500000+700000+400000+100000+7248+4415449+1030000+1300000+400000</f>
        <v>17003848.52</v>
      </c>
      <c r="AI191" s="11"/>
      <c r="AJ191" s="11"/>
      <c r="AK191" s="11"/>
      <c r="AL191" s="11">
        <f>16603848.52+400000</f>
        <v>17003848.52</v>
      </c>
      <c r="AM191" s="17">
        <v>3.4000000000000002E-2</v>
      </c>
      <c r="AN191" s="17">
        <f t="shared" si="55"/>
        <v>608127.85900000005</v>
      </c>
      <c r="AO191" s="11">
        <f>68000+47600+105400+115128+272000</f>
        <v>608128</v>
      </c>
      <c r="AP191" s="11">
        <f>608128</f>
        <v>608128</v>
      </c>
      <c r="AQ191" s="11">
        <v>0</v>
      </c>
      <c r="AR191" s="11"/>
      <c r="AS191" s="11">
        <v>150</v>
      </c>
      <c r="AT191" s="11" t="s">
        <v>1500</v>
      </c>
    </row>
    <row r="192" spans="1:46" x14ac:dyDescent="0.15">
      <c r="A192" s="54">
        <v>41699</v>
      </c>
      <c r="B192" s="11" t="s">
        <v>1556</v>
      </c>
      <c r="C192" s="11" t="s">
        <v>1557</v>
      </c>
      <c r="D192" s="11" t="s">
        <v>1558</v>
      </c>
      <c r="E192" s="11" t="s">
        <v>1323</v>
      </c>
      <c r="F192" s="11" t="s">
        <v>1559</v>
      </c>
      <c r="G192" s="11" t="s">
        <v>1325</v>
      </c>
      <c r="H192" s="11" t="s">
        <v>1334</v>
      </c>
      <c r="I192" s="11" t="s">
        <v>1560</v>
      </c>
      <c r="J192" s="11" t="s">
        <v>1334</v>
      </c>
      <c r="K192" s="11" t="s">
        <v>559</v>
      </c>
      <c r="L192" s="11"/>
      <c r="M192" s="11">
        <v>261648.41</v>
      </c>
      <c r="N192" s="11"/>
      <c r="O192" s="11"/>
      <c r="P192" s="11"/>
      <c r="Q192" s="15" t="s">
        <v>1561</v>
      </c>
      <c r="R192" s="16">
        <v>41724</v>
      </c>
      <c r="S192" s="11">
        <v>79</v>
      </c>
      <c r="T192" s="11"/>
      <c r="U192" s="11" t="s">
        <v>573</v>
      </c>
      <c r="V192" s="17">
        <v>3.5999999999999997E-2</v>
      </c>
      <c r="W192" s="11">
        <f>M192*V192</f>
        <v>9419.3427599999995</v>
      </c>
      <c r="X192" s="11">
        <v>9419</v>
      </c>
      <c r="Y192" s="11">
        <v>9419</v>
      </c>
      <c r="Z192" s="11">
        <v>0</v>
      </c>
      <c r="AA192" s="11">
        <v>248565.99</v>
      </c>
      <c r="AB192" s="11">
        <f>248565.99</f>
        <v>248565.99</v>
      </c>
      <c r="AC192" s="11">
        <v>248565.99</v>
      </c>
      <c r="AD192" s="11">
        <v>248565.99</v>
      </c>
      <c r="AE192" s="18">
        <f t="shared" si="58"/>
        <v>0.95000000191096134</v>
      </c>
      <c r="AF192" s="11">
        <v>109977</v>
      </c>
      <c r="AG192" s="11">
        <f>109977</f>
        <v>109977</v>
      </c>
      <c r="AH192" s="11">
        <f>8541+109977+130000</f>
        <v>248518</v>
      </c>
      <c r="AI192" s="11"/>
      <c r="AJ192" s="11"/>
      <c r="AK192" s="11"/>
      <c r="AL192" s="11">
        <f>118518+130000</f>
        <v>248518</v>
      </c>
      <c r="AM192" s="17">
        <v>3.4000000000000002E-2</v>
      </c>
      <c r="AN192" s="17">
        <f t="shared" si="55"/>
        <v>8451.2436600000001</v>
      </c>
      <c r="AO192" s="11">
        <v>8541</v>
      </c>
      <c r="AP192" s="11">
        <f>8541</f>
        <v>8541</v>
      </c>
      <c r="AQ192" s="11">
        <v>0</v>
      </c>
      <c r="AR192" s="11"/>
      <c r="AS192" s="11"/>
      <c r="AT192" s="11"/>
    </row>
    <row r="193" spans="1:46" x14ac:dyDescent="0.15">
      <c r="A193" s="54">
        <v>41699</v>
      </c>
      <c r="B193" s="11" t="s">
        <v>1562</v>
      </c>
      <c r="C193" s="11" t="s">
        <v>358</v>
      </c>
      <c r="D193" s="11" t="s">
        <v>1563</v>
      </c>
      <c r="E193" s="11" t="s">
        <v>1323</v>
      </c>
      <c r="F193" s="11" t="s">
        <v>1564</v>
      </c>
      <c r="G193" s="11" t="s">
        <v>1565</v>
      </c>
      <c r="H193" s="11" t="s">
        <v>1491</v>
      </c>
      <c r="I193" s="11" t="s">
        <v>1492</v>
      </c>
      <c r="J193" s="11" t="s">
        <v>1491</v>
      </c>
      <c r="K193" s="11"/>
      <c r="L193" s="11"/>
      <c r="M193" s="11">
        <v>1054353.53</v>
      </c>
      <c r="N193" s="11"/>
      <c r="O193" s="11"/>
      <c r="P193" s="11"/>
      <c r="Q193" s="15"/>
      <c r="R193" s="16"/>
      <c r="S193" s="11"/>
      <c r="T193" s="11"/>
      <c r="U193" s="11" t="s">
        <v>573</v>
      </c>
      <c r="V193" s="17">
        <v>0.03</v>
      </c>
      <c r="W193" s="11">
        <f t="shared" ref="W193:W196" si="59">M193*V193</f>
        <v>31630.605899999999</v>
      </c>
      <c r="X193" s="11">
        <f>31631</f>
        <v>31631</v>
      </c>
      <c r="Y193" s="11">
        <f>31631</f>
        <v>31631</v>
      </c>
      <c r="Z193" s="11">
        <v>0</v>
      </c>
      <c r="AA193" s="11">
        <v>200000</v>
      </c>
      <c r="AB193" s="11">
        <f>200000</f>
        <v>200000</v>
      </c>
      <c r="AC193" s="11">
        <v>200000</v>
      </c>
      <c r="AD193" s="11">
        <v>200000</v>
      </c>
      <c r="AE193" s="18">
        <f t="shared" si="58"/>
        <v>0.1896896954477878</v>
      </c>
      <c r="AF193" s="11">
        <f>80000</f>
        <v>80000</v>
      </c>
      <c r="AG193" s="11">
        <f>80000</f>
        <v>80000</v>
      </c>
      <c r="AH193" s="11">
        <f>80000+6800</f>
        <v>86800</v>
      </c>
      <c r="AI193" s="11"/>
      <c r="AJ193" s="11"/>
      <c r="AK193" s="11"/>
      <c r="AL193" s="11">
        <f>80000+6800</f>
        <v>86800</v>
      </c>
      <c r="AM193" s="17">
        <v>3.4000000000000002E-2</v>
      </c>
      <c r="AN193" s="17">
        <f t="shared" si="55"/>
        <v>6800.0000000000009</v>
      </c>
      <c r="AO193" s="11">
        <f>6800</f>
        <v>6800</v>
      </c>
      <c r="AP193" s="11">
        <f>6800</f>
        <v>6800</v>
      </c>
      <c r="AQ193" s="11">
        <f>AN193-AP193</f>
        <v>0</v>
      </c>
      <c r="AR193" s="11"/>
      <c r="AS193" s="11">
        <v>15</v>
      </c>
      <c r="AT193" s="11" t="s">
        <v>1494</v>
      </c>
    </row>
    <row r="194" spans="1:46" x14ac:dyDescent="0.15">
      <c r="A194" s="54">
        <v>41730</v>
      </c>
      <c r="B194" s="11" t="s">
        <v>1566</v>
      </c>
      <c r="C194" s="11" t="s">
        <v>364</v>
      </c>
      <c r="D194" s="11" t="s">
        <v>1567</v>
      </c>
      <c r="E194" s="11" t="s">
        <v>1323</v>
      </c>
      <c r="F194" s="11" t="s">
        <v>1568</v>
      </c>
      <c r="G194" s="11" t="s">
        <v>1569</v>
      </c>
      <c r="H194" s="11" t="s">
        <v>1437</v>
      </c>
      <c r="I194" s="11" t="s">
        <v>1438</v>
      </c>
      <c r="J194" s="11" t="s">
        <v>1437</v>
      </c>
      <c r="K194" s="11" t="s">
        <v>559</v>
      </c>
      <c r="L194" s="11"/>
      <c r="M194" s="11">
        <v>1393840</v>
      </c>
      <c r="N194" s="11">
        <f>429523.15+77938.15+345972.4</f>
        <v>853433.70000000007</v>
      </c>
      <c r="O194" s="11"/>
      <c r="P194" s="11"/>
      <c r="Q194" s="15" t="s">
        <v>1570</v>
      </c>
      <c r="R194" s="16">
        <v>41763</v>
      </c>
      <c r="S194" s="11">
        <v>419</v>
      </c>
      <c r="T194" s="11"/>
      <c r="U194" s="11" t="s">
        <v>573</v>
      </c>
      <c r="V194" s="17">
        <v>3.5999999999999997E-2</v>
      </c>
      <c r="W194" s="11">
        <f t="shared" si="59"/>
        <v>50178.239999999998</v>
      </c>
      <c r="X194" s="11">
        <f>45613+5000</f>
        <v>50613</v>
      </c>
      <c r="Y194" s="11">
        <f>50613</f>
        <v>50613</v>
      </c>
      <c r="Z194" s="11">
        <f>W194-Y194</f>
        <v>-434.76000000000204</v>
      </c>
      <c r="AA194" s="11">
        <f>335937+217744.38+24436.3+128856.94+19484.54+415975.55</f>
        <v>1142434.7100000002</v>
      </c>
      <c r="AB194" s="11">
        <f>1142434.71</f>
        <v>1142434.71</v>
      </c>
      <c r="AC194" s="11">
        <v>1142434.71</v>
      </c>
      <c r="AD194" s="11">
        <v>1142434.71</v>
      </c>
      <c r="AE194" s="18">
        <f t="shared" si="58"/>
        <v>0.50836473990684794</v>
      </c>
      <c r="AF194" s="11">
        <f>65000+220000+13300+40000+203700+390058.05</f>
        <v>932058.05</v>
      </c>
      <c r="AG194" s="11">
        <f>338300+203700+390058.05</f>
        <v>932058.05</v>
      </c>
      <c r="AH194" s="11">
        <f>78094+220000+7403+831+18343+54143+203700+390058.05</f>
        <v>972572.05</v>
      </c>
      <c r="AI194" s="11"/>
      <c r="AJ194" s="11"/>
      <c r="AK194" s="11"/>
      <c r="AL194" s="11">
        <f>378814+203700+390058.05</f>
        <v>972572.05</v>
      </c>
      <c r="AM194" s="17">
        <v>3.4000000000000002E-2</v>
      </c>
      <c r="AN194" s="17">
        <f t="shared" si="55"/>
        <v>38842.780140000003</v>
      </c>
      <c r="AO194" s="11">
        <f>11422+7403+831+4381+662+14143</f>
        <v>38842</v>
      </c>
      <c r="AP194" s="11">
        <f>38842</f>
        <v>38842</v>
      </c>
      <c r="AQ194" s="11">
        <v>0</v>
      </c>
      <c r="AR194" s="11"/>
      <c r="AS194" s="11">
        <v>20</v>
      </c>
      <c r="AT194" s="11" t="s">
        <v>1440</v>
      </c>
    </row>
    <row r="195" spans="1:46" x14ac:dyDescent="0.15">
      <c r="A195" s="54">
        <v>41730</v>
      </c>
      <c r="B195" s="11" t="s">
        <v>1571</v>
      </c>
      <c r="C195" s="11" t="s">
        <v>360</v>
      </c>
      <c r="D195" s="11" t="s">
        <v>1572</v>
      </c>
      <c r="E195" s="11" t="s">
        <v>1323</v>
      </c>
      <c r="F195" s="11" t="s">
        <v>1573</v>
      </c>
      <c r="G195" s="11" t="s">
        <v>1325</v>
      </c>
      <c r="H195" s="11" t="s">
        <v>1426</v>
      </c>
      <c r="I195" s="11" t="s">
        <v>1425</v>
      </c>
      <c r="J195" s="11" t="s">
        <v>1426</v>
      </c>
      <c r="K195" s="11" t="s">
        <v>559</v>
      </c>
      <c r="L195" s="11"/>
      <c r="M195" s="11">
        <v>1470000</v>
      </c>
      <c r="N195" s="11"/>
      <c r="O195" s="11"/>
      <c r="P195" s="11"/>
      <c r="Q195" s="15"/>
      <c r="R195" s="16"/>
      <c r="S195" s="11"/>
      <c r="T195" s="11"/>
      <c r="U195" s="11" t="s">
        <v>573</v>
      </c>
      <c r="V195" s="17">
        <v>3.5999999999999997E-2</v>
      </c>
      <c r="W195" s="11">
        <f t="shared" si="59"/>
        <v>52919.999999999993</v>
      </c>
      <c r="X195" s="11"/>
      <c r="Y195" s="11"/>
      <c r="Z195" s="11">
        <f>W195-Y195</f>
        <v>52919.999999999993</v>
      </c>
      <c r="AA195" s="11">
        <f>664033.28+511966.73</f>
        <v>1176000.01</v>
      </c>
      <c r="AB195" s="11">
        <f>1176000</f>
        <v>1176000</v>
      </c>
      <c r="AC195" s="11">
        <v>664033.28000000003</v>
      </c>
      <c r="AD195" s="11">
        <v>664033.28000000003</v>
      </c>
      <c r="AE195" s="18">
        <f t="shared" si="58"/>
        <v>0.45172331972789115</v>
      </c>
      <c r="AF195" s="11">
        <f>182910+58000+3028.24</f>
        <v>243938.24</v>
      </c>
      <c r="AG195" s="11">
        <f>182910+58000+3028.24</f>
        <v>243938.24</v>
      </c>
      <c r="AH195" s="11">
        <f>222894+58000+3028.24</f>
        <v>283922.24</v>
      </c>
      <c r="AI195" s="11"/>
      <c r="AJ195" s="11"/>
      <c r="AK195" s="11"/>
      <c r="AL195" s="11">
        <f>222894+58000+3028.24</f>
        <v>283922.24</v>
      </c>
      <c r="AM195" s="17">
        <v>3.4000000000000002E-2</v>
      </c>
      <c r="AN195" s="17">
        <f t="shared" si="55"/>
        <v>39984</v>
      </c>
      <c r="AO195" s="11">
        <f>22577+17407</f>
        <v>39984</v>
      </c>
      <c r="AP195" s="11">
        <f>39984</f>
        <v>39984</v>
      </c>
      <c r="AQ195" s="11">
        <v>0</v>
      </c>
      <c r="AR195" s="11"/>
      <c r="AS195" s="11">
        <v>1</v>
      </c>
      <c r="AT195" s="11" t="s">
        <v>1440</v>
      </c>
    </row>
    <row r="196" spans="1:46" x14ac:dyDescent="0.15">
      <c r="A196" s="54">
        <v>41745</v>
      </c>
      <c r="B196" s="11" t="s">
        <v>1574</v>
      </c>
      <c r="C196" s="11" t="s">
        <v>368</v>
      </c>
      <c r="D196" s="11" t="s">
        <v>1575</v>
      </c>
      <c r="E196" s="11" t="s">
        <v>1323</v>
      </c>
      <c r="F196" s="11" t="s">
        <v>1324</v>
      </c>
      <c r="G196" s="11" t="s">
        <v>1325</v>
      </c>
      <c r="H196" s="11" t="s">
        <v>1326</v>
      </c>
      <c r="I196" s="11" t="s">
        <v>1576</v>
      </c>
      <c r="J196" s="11" t="s">
        <v>1513</v>
      </c>
      <c r="K196" s="11" t="s">
        <v>559</v>
      </c>
      <c r="L196" s="11"/>
      <c r="M196" s="11">
        <v>1287679</v>
      </c>
      <c r="N196" s="11"/>
      <c r="O196" s="11"/>
      <c r="P196" s="11"/>
      <c r="Q196" s="15"/>
      <c r="R196" s="16"/>
      <c r="S196" s="11"/>
      <c r="T196" s="11"/>
      <c r="U196" s="11" t="s">
        <v>1577</v>
      </c>
      <c r="V196" s="17">
        <v>3.5999999999999997E-2</v>
      </c>
      <c r="W196" s="11">
        <f t="shared" si="59"/>
        <v>46356.443999999996</v>
      </c>
      <c r="X196" s="11">
        <f>46356</f>
        <v>46356</v>
      </c>
      <c r="Y196" s="11">
        <f>46356</f>
        <v>46356</v>
      </c>
      <c r="Z196" s="11">
        <v>0</v>
      </c>
      <c r="AA196" s="11">
        <f>400000</f>
        <v>400000</v>
      </c>
      <c r="AB196" s="11">
        <f>400000</f>
        <v>400000</v>
      </c>
      <c r="AC196" s="11">
        <v>400000</v>
      </c>
      <c r="AD196" s="11">
        <v>400000</v>
      </c>
      <c r="AE196" s="18">
        <f t="shared" si="58"/>
        <v>0.31063642413986714</v>
      </c>
      <c r="AF196" s="11">
        <f>100000+153418.72+100000</f>
        <v>353418.72</v>
      </c>
      <c r="AG196" s="11">
        <f>353418.72</f>
        <v>353418.72</v>
      </c>
      <c r="AH196" s="11">
        <f>113600+153418.72+100000</f>
        <v>367018.72</v>
      </c>
      <c r="AI196" s="11"/>
      <c r="AJ196" s="11"/>
      <c r="AK196" s="11"/>
      <c r="AL196" s="11">
        <f>367018.72</f>
        <v>367018.72</v>
      </c>
      <c r="AM196" s="17">
        <v>3.4000000000000002E-2</v>
      </c>
      <c r="AN196" s="17">
        <f t="shared" si="55"/>
        <v>13600.000000000002</v>
      </c>
      <c r="AO196" s="11">
        <f>13600</f>
        <v>13600</v>
      </c>
      <c r="AP196" s="11">
        <f>13600</f>
        <v>13600</v>
      </c>
      <c r="AQ196" s="11">
        <v>0</v>
      </c>
      <c r="AR196" s="11"/>
      <c r="AS196" s="11">
        <v>20</v>
      </c>
      <c r="AT196" s="11" t="s">
        <v>1578</v>
      </c>
    </row>
    <row r="197" spans="1:46" x14ac:dyDescent="0.15">
      <c r="A197" s="54">
        <v>41747</v>
      </c>
      <c r="B197" s="11" t="s">
        <v>1579</v>
      </c>
      <c r="C197" s="11" t="s">
        <v>1580</v>
      </c>
      <c r="D197" s="11" t="s">
        <v>1581</v>
      </c>
      <c r="E197" s="11" t="s">
        <v>1323</v>
      </c>
      <c r="F197" s="11" t="s">
        <v>1582</v>
      </c>
      <c r="G197" s="11" t="s">
        <v>1583</v>
      </c>
      <c r="H197" s="11" t="s">
        <v>1437</v>
      </c>
      <c r="I197" s="11" t="s">
        <v>1584</v>
      </c>
      <c r="J197" s="11" t="s">
        <v>1437</v>
      </c>
      <c r="K197" s="11" t="s">
        <v>1585</v>
      </c>
      <c r="L197" s="11"/>
      <c r="M197" s="11">
        <v>420488.3</v>
      </c>
      <c r="N197" s="11"/>
      <c r="O197" s="11"/>
      <c r="P197" s="11"/>
      <c r="Q197" s="15" t="s">
        <v>1586</v>
      </c>
      <c r="R197" s="16">
        <v>41789</v>
      </c>
      <c r="S197" s="11">
        <v>127</v>
      </c>
      <c r="T197" s="11"/>
      <c r="U197" s="11" t="s">
        <v>1587</v>
      </c>
      <c r="V197" s="17">
        <v>3.5999999999999997E-2</v>
      </c>
      <c r="W197" s="11">
        <f>V197*M197</f>
        <v>15137.578799999999</v>
      </c>
      <c r="X197" s="11"/>
      <c r="Y197" s="11"/>
      <c r="Z197" s="11">
        <f>W197-Y197</f>
        <v>15137.578799999999</v>
      </c>
      <c r="AA197" s="11">
        <f>378000</f>
        <v>378000</v>
      </c>
      <c r="AB197" s="11">
        <f>378000</f>
        <v>378000</v>
      </c>
      <c r="AC197" s="11">
        <v>378000</v>
      </c>
      <c r="AD197" s="11">
        <v>378000</v>
      </c>
      <c r="AE197" s="18">
        <f t="shared" si="58"/>
        <v>0.89895485795918695</v>
      </c>
      <c r="AF197" s="11">
        <f>138482+180202.49</f>
        <v>318684.49</v>
      </c>
      <c r="AG197" s="11">
        <f>318684.49</f>
        <v>318684.49</v>
      </c>
      <c r="AH197" s="11">
        <f>151334+190202.49+10000</f>
        <v>351536.49</v>
      </c>
      <c r="AI197" s="11"/>
      <c r="AJ197" s="11"/>
      <c r="AK197" s="11"/>
      <c r="AL197" s="11">
        <f>341536.49+10000</f>
        <v>351536.49</v>
      </c>
      <c r="AM197" s="17">
        <v>3.4000000000000002E-2</v>
      </c>
      <c r="AN197" s="17">
        <f t="shared" si="55"/>
        <v>12852.000000000002</v>
      </c>
      <c r="AO197" s="11">
        <f>12852</f>
        <v>12852</v>
      </c>
      <c r="AP197" s="11">
        <f>12852</f>
        <v>12852</v>
      </c>
      <c r="AQ197" s="11">
        <f t="shared" si="38"/>
        <v>0</v>
      </c>
      <c r="AR197" s="11"/>
      <c r="AS197" s="11">
        <v>5</v>
      </c>
      <c r="AT197" s="11" t="s">
        <v>1440</v>
      </c>
    </row>
    <row r="198" spans="1:46" x14ac:dyDescent="0.15">
      <c r="A198" s="54">
        <v>41744</v>
      </c>
      <c r="B198" s="11" t="s">
        <v>1588</v>
      </c>
      <c r="C198" s="11" t="s">
        <v>1589</v>
      </c>
      <c r="D198" s="11" t="s">
        <v>1590</v>
      </c>
      <c r="E198" s="11" t="s">
        <v>1323</v>
      </c>
      <c r="F198" s="11"/>
      <c r="G198" s="11"/>
      <c r="H198" s="11" t="s">
        <v>1309</v>
      </c>
      <c r="I198" s="25" t="s">
        <v>1480</v>
      </c>
      <c r="J198" s="25" t="s">
        <v>1309</v>
      </c>
      <c r="K198" s="11"/>
      <c r="L198" s="11"/>
      <c r="M198" s="11">
        <v>1414102.49</v>
      </c>
      <c r="N198" s="11"/>
      <c r="O198" s="11"/>
      <c r="P198" s="11"/>
      <c r="Q198" s="15"/>
      <c r="R198" s="16"/>
      <c r="S198" s="11"/>
      <c r="T198" s="11"/>
      <c r="U198" s="11" t="s">
        <v>573</v>
      </c>
      <c r="V198" s="17">
        <v>3.5999999999999997E-2</v>
      </c>
      <c r="W198" s="11">
        <f>V198*M198</f>
        <v>50907.689639999997</v>
      </c>
      <c r="X198" s="11">
        <f>50908</f>
        <v>50908</v>
      </c>
      <c r="Y198" s="11">
        <f>50908</f>
        <v>50908</v>
      </c>
      <c r="Z198" s="11">
        <v>0</v>
      </c>
      <c r="AA198" s="11"/>
      <c r="AB198" s="11"/>
      <c r="AC198" s="11">
        <v>0</v>
      </c>
      <c r="AD198" s="11">
        <v>0</v>
      </c>
      <c r="AE198" s="18"/>
      <c r="AF198" s="11"/>
      <c r="AG198" s="11"/>
      <c r="AH198" s="11"/>
      <c r="AI198" s="11"/>
      <c r="AJ198" s="11"/>
      <c r="AK198" s="11"/>
      <c r="AL198" s="11"/>
      <c r="AM198" s="17"/>
      <c r="AN198" s="17">
        <f t="shared" si="55"/>
        <v>0</v>
      </c>
      <c r="AO198" s="11"/>
      <c r="AP198" s="11"/>
      <c r="AQ198" s="11">
        <f t="shared" si="38"/>
        <v>0</v>
      </c>
      <c r="AR198" s="11"/>
      <c r="AS198" s="11">
        <v>15</v>
      </c>
      <c r="AT198" s="11" t="s">
        <v>1311</v>
      </c>
    </row>
    <row r="199" spans="1:46" x14ac:dyDescent="0.15">
      <c r="A199" s="54">
        <v>41760</v>
      </c>
      <c r="B199" s="11" t="s">
        <v>1591</v>
      </c>
      <c r="C199" s="11" t="s">
        <v>376</v>
      </c>
      <c r="D199" s="11" t="s">
        <v>1352</v>
      </c>
      <c r="E199" s="11" t="s">
        <v>1323</v>
      </c>
      <c r="F199" s="11" t="s">
        <v>1592</v>
      </c>
      <c r="G199" s="11" t="s">
        <v>1593</v>
      </c>
      <c r="H199" s="11" t="s">
        <v>1354</v>
      </c>
      <c r="I199" s="11" t="s">
        <v>1355</v>
      </c>
      <c r="J199" s="11" t="s">
        <v>1354</v>
      </c>
      <c r="K199" s="11" t="s">
        <v>1319</v>
      </c>
      <c r="L199" s="11"/>
      <c r="M199" s="11">
        <v>10118443</v>
      </c>
      <c r="N199" s="11"/>
      <c r="O199" s="11"/>
      <c r="P199" s="11"/>
      <c r="Q199" s="15"/>
      <c r="R199" s="16"/>
      <c r="S199" s="11"/>
      <c r="T199" s="11"/>
      <c r="U199" s="11" t="s">
        <v>573</v>
      </c>
      <c r="V199" s="17">
        <v>0.03</v>
      </c>
      <c r="W199" s="11">
        <f t="shared" ref="W199:W215" si="60">V199*M199</f>
        <v>303553.28999999998</v>
      </c>
      <c r="X199" s="11">
        <f>100000</f>
        <v>100000</v>
      </c>
      <c r="Y199" s="11">
        <f>100000</f>
        <v>100000</v>
      </c>
      <c r="Z199" s="11">
        <f t="shared" ref="Z199:Z215" si="61">W199-Y199</f>
        <v>203553.28999999998</v>
      </c>
      <c r="AA199" s="11">
        <f>1800000+3000000</f>
        <v>4800000</v>
      </c>
      <c r="AB199" s="11">
        <f>1800000+3000000</f>
        <v>4800000</v>
      </c>
      <c r="AC199" s="11">
        <v>1800000</v>
      </c>
      <c r="AD199" s="11">
        <v>1800000</v>
      </c>
      <c r="AE199" s="18">
        <f>AC199/(M199+N199)</f>
        <v>0.17789298215150295</v>
      </c>
      <c r="AF199" s="11">
        <f>1739791</f>
        <v>1739791</v>
      </c>
      <c r="AG199" s="11">
        <f>1739791</f>
        <v>1739791</v>
      </c>
      <c r="AH199" s="11">
        <f>1739791+61020</f>
        <v>1800811</v>
      </c>
      <c r="AI199" s="11"/>
      <c r="AJ199" s="11"/>
      <c r="AK199" s="11"/>
      <c r="AL199" s="11">
        <f>1800811</f>
        <v>1800811</v>
      </c>
      <c r="AM199" s="17">
        <v>3.7400000000000003E-2</v>
      </c>
      <c r="AN199" s="17">
        <f t="shared" si="55"/>
        <v>179520</v>
      </c>
      <c r="AO199" s="11">
        <f>67320+112200</f>
        <v>179520</v>
      </c>
      <c r="AP199" s="11">
        <f>67320+112200</f>
        <v>179520</v>
      </c>
      <c r="AQ199" s="11">
        <f t="shared" si="38"/>
        <v>0</v>
      </c>
      <c r="AR199" s="11"/>
      <c r="AS199" s="11">
        <v>132</v>
      </c>
      <c r="AT199" s="11" t="s">
        <v>1311</v>
      </c>
    </row>
    <row r="200" spans="1:46" x14ac:dyDescent="0.15">
      <c r="A200" s="54">
        <v>41767</v>
      </c>
      <c r="B200" s="11" t="s">
        <v>1594</v>
      </c>
      <c r="C200" s="11" t="s">
        <v>379</v>
      </c>
      <c r="D200" s="11" t="s">
        <v>1595</v>
      </c>
      <c r="E200" s="11" t="s">
        <v>1596</v>
      </c>
      <c r="F200" s="11" t="s">
        <v>1597</v>
      </c>
      <c r="G200" s="11" t="s">
        <v>1325</v>
      </c>
      <c r="H200" s="11" t="s">
        <v>1598</v>
      </c>
      <c r="I200" s="11" t="s">
        <v>1599</v>
      </c>
      <c r="J200" s="11" t="s">
        <v>1598</v>
      </c>
      <c r="K200" s="11" t="s">
        <v>1600</v>
      </c>
      <c r="L200" s="11"/>
      <c r="M200" s="11">
        <v>944953.41</v>
      </c>
      <c r="N200" s="11"/>
      <c r="O200" s="11"/>
      <c r="P200" s="11"/>
      <c r="Q200" s="15" t="s">
        <v>1601</v>
      </c>
      <c r="R200" s="16">
        <v>41773</v>
      </c>
      <c r="S200" s="11">
        <v>284</v>
      </c>
      <c r="T200" s="11"/>
      <c r="U200" s="11" t="s">
        <v>1602</v>
      </c>
      <c r="V200" s="17">
        <v>3.5999999999999997E-2</v>
      </c>
      <c r="W200" s="11">
        <f t="shared" si="60"/>
        <v>34018.322759999995</v>
      </c>
      <c r="X200" s="11">
        <f>19298.8</f>
        <v>19298.8</v>
      </c>
      <c r="Y200" s="11">
        <f>19298.8</f>
        <v>19298.8</v>
      </c>
      <c r="Z200" s="11">
        <f t="shared" si="61"/>
        <v>14719.522759999996</v>
      </c>
      <c r="AA200" s="11">
        <f>300000+200000</f>
        <v>500000</v>
      </c>
      <c r="AB200" s="11">
        <f>500000</f>
        <v>500000</v>
      </c>
      <c r="AC200" s="11">
        <v>500000</v>
      </c>
      <c r="AD200" s="11">
        <v>500000</v>
      </c>
      <c r="AE200" s="18">
        <f>AC200/(M200+N200)</f>
        <v>0.52912661588257559</v>
      </c>
      <c r="AF200" s="11">
        <f>4298.8+237666.29+13164+103300</f>
        <v>358429.08999999997</v>
      </c>
      <c r="AG200" s="11">
        <f>255129.09+103300</f>
        <v>358429.08999999997</v>
      </c>
      <c r="AH200" s="11">
        <f>15632.8+237666.29+13164+28000+110100</f>
        <v>404563.08999999997</v>
      </c>
      <c r="AI200" s="11"/>
      <c r="AJ200" s="11"/>
      <c r="AK200" s="11"/>
      <c r="AL200" s="11">
        <f>294463.09+110100</f>
        <v>404563.09</v>
      </c>
      <c r="AM200" s="17">
        <v>3.4000000000000002E-2</v>
      </c>
      <c r="AN200" s="17">
        <f t="shared" si="55"/>
        <v>17000</v>
      </c>
      <c r="AO200" s="11">
        <f>10200</f>
        <v>10200</v>
      </c>
      <c r="AP200" s="11">
        <f>10200</f>
        <v>10200</v>
      </c>
      <c r="AQ200" s="11">
        <f t="shared" si="38"/>
        <v>6800</v>
      </c>
      <c r="AR200" s="11"/>
      <c r="AS200" s="11">
        <v>4</v>
      </c>
      <c r="AT200" s="11" t="s">
        <v>1603</v>
      </c>
    </row>
    <row r="201" spans="1:46" x14ac:dyDescent="0.15">
      <c r="A201" s="54">
        <v>41760</v>
      </c>
      <c r="B201" s="11" t="s">
        <v>1604</v>
      </c>
      <c r="C201" s="11" t="s">
        <v>374</v>
      </c>
      <c r="D201" s="11" t="s">
        <v>1605</v>
      </c>
      <c r="E201" s="11" t="s">
        <v>1596</v>
      </c>
      <c r="F201" s="11" t="s">
        <v>1606</v>
      </c>
      <c r="G201" s="11" t="s">
        <v>1325</v>
      </c>
      <c r="H201" s="11" t="s">
        <v>1607</v>
      </c>
      <c r="I201" s="11" t="s">
        <v>1608</v>
      </c>
      <c r="J201" s="11" t="s">
        <v>1334</v>
      </c>
      <c r="K201" s="11" t="s">
        <v>559</v>
      </c>
      <c r="L201" s="11"/>
      <c r="M201" s="11">
        <v>14986416.529999999</v>
      </c>
      <c r="N201" s="11"/>
      <c r="O201" s="11"/>
      <c r="P201" s="11"/>
      <c r="Q201" s="15"/>
      <c r="R201" s="16"/>
      <c r="S201" s="11"/>
      <c r="T201" s="11"/>
      <c r="U201" s="11" t="s">
        <v>1602</v>
      </c>
      <c r="V201" s="17">
        <v>0.03</v>
      </c>
      <c r="W201" s="11">
        <f t="shared" si="60"/>
        <v>449592.49589999998</v>
      </c>
      <c r="X201" s="11"/>
      <c r="Y201" s="11"/>
      <c r="Z201" s="11">
        <f t="shared" si="61"/>
        <v>449592.49589999998</v>
      </c>
      <c r="AA201" s="11"/>
      <c r="AB201" s="11"/>
      <c r="AC201" s="11">
        <v>0</v>
      </c>
      <c r="AD201" s="11">
        <v>0</v>
      </c>
      <c r="AE201" s="18"/>
      <c r="AF201" s="11"/>
      <c r="AG201" s="11"/>
      <c r="AH201" s="11"/>
      <c r="AI201" s="11"/>
      <c r="AJ201" s="11"/>
      <c r="AK201" s="11"/>
      <c r="AL201" s="11"/>
      <c r="AM201" s="17"/>
      <c r="AN201" s="17">
        <f t="shared" si="55"/>
        <v>0</v>
      </c>
      <c r="AO201" s="11"/>
      <c r="AP201" s="11"/>
      <c r="AQ201" s="11">
        <f t="shared" si="38"/>
        <v>0</v>
      </c>
      <c r="AR201" s="11"/>
      <c r="AS201" s="11">
        <v>110</v>
      </c>
      <c r="AT201" s="11" t="s">
        <v>1440</v>
      </c>
    </row>
    <row r="202" spans="1:46" x14ac:dyDescent="0.15">
      <c r="A202" s="54">
        <v>41760</v>
      </c>
      <c r="B202" s="11" t="s">
        <v>1609</v>
      </c>
      <c r="C202" s="11" t="s">
        <v>1610</v>
      </c>
      <c r="D202" s="11" t="s">
        <v>1611</v>
      </c>
      <c r="E202" s="11" t="s">
        <v>1596</v>
      </c>
      <c r="F202" s="11"/>
      <c r="G202" s="11" t="s">
        <v>1612</v>
      </c>
      <c r="H202" s="11"/>
      <c r="I202" s="11"/>
      <c r="J202" s="11"/>
      <c r="K202" s="11"/>
      <c r="L202" s="11"/>
      <c r="M202" s="11"/>
      <c r="N202" s="11"/>
      <c r="O202" s="11"/>
      <c r="P202" s="11"/>
      <c r="Q202" s="15"/>
      <c r="R202" s="16"/>
      <c r="S202" s="11"/>
      <c r="T202" s="11"/>
      <c r="U202" s="11" t="s">
        <v>1602</v>
      </c>
      <c r="V202" s="17"/>
      <c r="W202" s="11">
        <f t="shared" si="60"/>
        <v>0</v>
      </c>
      <c r="X202" s="11"/>
      <c r="Y202" s="11"/>
      <c r="Z202" s="11">
        <f t="shared" si="61"/>
        <v>0</v>
      </c>
      <c r="AA202" s="11"/>
      <c r="AB202" s="11"/>
      <c r="AC202" s="11">
        <v>0</v>
      </c>
      <c r="AD202" s="11">
        <v>0</v>
      </c>
      <c r="AE202" s="18"/>
      <c r="AF202" s="11"/>
      <c r="AG202" s="11"/>
      <c r="AH202" s="11"/>
      <c r="AI202" s="11"/>
      <c r="AJ202" s="11"/>
      <c r="AK202" s="11"/>
      <c r="AL202" s="11"/>
      <c r="AM202" s="17"/>
      <c r="AN202" s="17">
        <f t="shared" si="55"/>
        <v>0</v>
      </c>
      <c r="AO202" s="11"/>
      <c r="AP202" s="11"/>
      <c r="AQ202" s="11">
        <f t="shared" si="38"/>
        <v>0</v>
      </c>
      <c r="AR202" s="11"/>
      <c r="AS202" s="11"/>
      <c r="AT202" s="11"/>
    </row>
    <row r="203" spans="1:46" x14ac:dyDescent="0.15">
      <c r="A203" s="54">
        <v>41760</v>
      </c>
      <c r="B203" s="11" t="s">
        <v>1613</v>
      </c>
      <c r="C203" s="11" t="s">
        <v>377</v>
      </c>
      <c r="D203" s="11" t="s">
        <v>1614</v>
      </c>
      <c r="E203" s="11" t="s">
        <v>1596</v>
      </c>
      <c r="F203" s="11"/>
      <c r="G203" s="11" t="s">
        <v>1615</v>
      </c>
      <c r="H203" s="11" t="s">
        <v>1616</v>
      </c>
      <c r="I203" s="11" t="s">
        <v>1617</v>
      </c>
      <c r="J203" s="11"/>
      <c r="K203" s="11"/>
      <c r="L203" s="11"/>
      <c r="M203" s="11">
        <v>769500</v>
      </c>
      <c r="N203" s="11"/>
      <c r="O203" s="11"/>
      <c r="P203" s="11"/>
      <c r="Q203" s="15" t="s">
        <v>1618</v>
      </c>
      <c r="R203" s="16">
        <v>41796</v>
      </c>
      <c r="S203" s="11">
        <v>231</v>
      </c>
      <c r="T203" s="11"/>
      <c r="U203" s="11" t="s">
        <v>1602</v>
      </c>
      <c r="V203" s="17">
        <v>4.5999999999999999E-2</v>
      </c>
      <c r="W203" s="11">
        <f t="shared" si="60"/>
        <v>35397</v>
      </c>
      <c r="X203" s="11">
        <f>35397</f>
        <v>35397</v>
      </c>
      <c r="Y203" s="11">
        <f>35397</f>
        <v>35397</v>
      </c>
      <c r="Z203" s="11">
        <f t="shared" si="61"/>
        <v>0</v>
      </c>
      <c r="AA203" s="11"/>
      <c r="AB203" s="11"/>
      <c r="AC203" s="11">
        <v>0</v>
      </c>
      <c r="AD203" s="11">
        <v>0</v>
      </c>
      <c r="AE203" s="18"/>
      <c r="AF203" s="11"/>
      <c r="AG203" s="11"/>
      <c r="AH203" s="11"/>
      <c r="AI203" s="11"/>
      <c r="AJ203" s="11"/>
      <c r="AK203" s="11"/>
      <c r="AL203" s="11"/>
      <c r="AM203" s="17"/>
      <c r="AN203" s="17">
        <f t="shared" si="55"/>
        <v>0</v>
      </c>
      <c r="AO203" s="11"/>
      <c r="AP203" s="11"/>
      <c r="AQ203" s="11">
        <f t="shared" si="38"/>
        <v>0</v>
      </c>
      <c r="AR203" s="11"/>
      <c r="AS203" s="11">
        <v>6</v>
      </c>
      <c r="AT203" s="11" t="s">
        <v>1619</v>
      </c>
    </row>
    <row r="204" spans="1:46" x14ac:dyDescent="0.15">
      <c r="A204" s="54">
        <v>41779</v>
      </c>
      <c r="B204" s="11" t="s">
        <v>1620</v>
      </c>
      <c r="C204" s="11" t="s">
        <v>381</v>
      </c>
      <c r="D204" s="11" t="s">
        <v>1621</v>
      </c>
      <c r="E204" s="11" t="s">
        <v>1596</v>
      </c>
      <c r="F204" s="11" t="s">
        <v>1622</v>
      </c>
      <c r="G204" s="11" t="s">
        <v>1615</v>
      </c>
      <c r="H204" s="11" t="s">
        <v>1623</v>
      </c>
      <c r="I204" s="11" t="s">
        <v>1624</v>
      </c>
      <c r="J204" s="11" t="s">
        <v>1623</v>
      </c>
      <c r="K204" s="11" t="s">
        <v>1600</v>
      </c>
      <c r="L204" s="11"/>
      <c r="M204" s="11">
        <v>520000</v>
      </c>
      <c r="N204" s="11"/>
      <c r="O204" s="11"/>
      <c r="P204" s="11"/>
      <c r="Q204" s="15" t="s">
        <v>1625</v>
      </c>
      <c r="R204" s="16">
        <v>41793</v>
      </c>
      <c r="S204" s="11">
        <v>156</v>
      </c>
      <c r="T204" s="11"/>
      <c r="U204" s="11" t="s">
        <v>1602</v>
      </c>
      <c r="V204" s="17">
        <v>3.5999999999999997E-2</v>
      </c>
      <c r="W204" s="11">
        <f t="shared" si="60"/>
        <v>18720</v>
      </c>
      <c r="X204" s="11">
        <f>18720</f>
        <v>18720</v>
      </c>
      <c r="Y204" s="11">
        <f>18720</f>
        <v>18720</v>
      </c>
      <c r="Z204" s="11">
        <f t="shared" si="61"/>
        <v>0</v>
      </c>
      <c r="AA204" s="11">
        <f>156000</f>
        <v>156000</v>
      </c>
      <c r="AB204" s="11">
        <f>156000</f>
        <v>156000</v>
      </c>
      <c r="AC204" s="11">
        <v>156000</v>
      </c>
      <c r="AD204" s="11">
        <v>156000</v>
      </c>
      <c r="AE204" s="18">
        <f>AC204/(M204+N204)</f>
        <v>0.3</v>
      </c>
      <c r="AF204" s="11">
        <f>140000</f>
        <v>140000</v>
      </c>
      <c r="AG204" s="11">
        <f>140000</f>
        <v>140000</v>
      </c>
      <c r="AH204" s="11">
        <f>145304</f>
        <v>145304</v>
      </c>
      <c r="AI204" s="11"/>
      <c r="AJ204" s="11"/>
      <c r="AK204" s="11"/>
      <c r="AL204" s="11">
        <f>145304</f>
        <v>145304</v>
      </c>
      <c r="AM204" s="17">
        <v>3.4000000000000002E-2</v>
      </c>
      <c r="AN204" s="17">
        <f t="shared" si="55"/>
        <v>5304</v>
      </c>
      <c r="AO204" s="11">
        <v>5304</v>
      </c>
      <c r="AP204" s="11">
        <v>5304</v>
      </c>
      <c r="AQ204" s="11">
        <f t="shared" si="38"/>
        <v>0</v>
      </c>
      <c r="AR204" s="11"/>
      <c r="AS204" s="11"/>
      <c r="AT204" s="11"/>
    </row>
    <row r="205" spans="1:46" x14ac:dyDescent="0.15">
      <c r="A205" s="54">
        <v>41791</v>
      </c>
      <c r="B205" s="11" t="s">
        <v>1626</v>
      </c>
      <c r="C205" s="11" t="s">
        <v>383</v>
      </c>
      <c r="D205" s="11" t="s">
        <v>1627</v>
      </c>
      <c r="E205" s="11" t="s">
        <v>1596</v>
      </c>
      <c r="F205" s="11" t="s">
        <v>1628</v>
      </c>
      <c r="G205" s="11" t="s">
        <v>1615</v>
      </c>
      <c r="H205" s="11" t="s">
        <v>1629</v>
      </c>
      <c r="I205" s="11" t="s">
        <v>1630</v>
      </c>
      <c r="J205" s="11" t="s">
        <v>1631</v>
      </c>
      <c r="K205" s="11" t="s">
        <v>1600</v>
      </c>
      <c r="L205" s="11"/>
      <c r="M205" s="11">
        <v>14800000</v>
      </c>
      <c r="N205" s="11"/>
      <c r="O205" s="11"/>
      <c r="P205" s="11"/>
      <c r="Q205" s="15"/>
      <c r="R205" s="16"/>
      <c r="S205" s="11"/>
      <c r="T205" s="11"/>
      <c r="U205" s="11" t="s">
        <v>573</v>
      </c>
      <c r="V205" s="17"/>
      <c r="W205" s="11">
        <f t="shared" si="60"/>
        <v>0</v>
      </c>
      <c r="X205" s="11"/>
      <c r="Y205" s="11"/>
      <c r="Z205" s="11">
        <f t="shared" si="61"/>
        <v>0</v>
      </c>
      <c r="AA205" s="11"/>
      <c r="AB205" s="11"/>
      <c r="AC205" s="11">
        <v>3300000</v>
      </c>
      <c r="AD205" s="11">
        <v>3300000</v>
      </c>
      <c r="AE205" s="18">
        <f>AC205/(M205+N205)</f>
        <v>0.22297297297297297</v>
      </c>
      <c r="AF205" s="11">
        <f>300000+361050+200000+400000</f>
        <v>1261050</v>
      </c>
      <c r="AG205" s="11">
        <f>861050+400000</f>
        <v>1261050</v>
      </c>
      <c r="AH205" s="11">
        <f>300000+361050+200000+400000</f>
        <v>1261050</v>
      </c>
      <c r="AI205" s="11"/>
      <c r="AJ205" s="11"/>
      <c r="AK205" s="11"/>
      <c r="AL205" s="11">
        <f>861050+400000</f>
        <v>1261050</v>
      </c>
      <c r="AM205" s="17">
        <v>3.4000000000000002E-2</v>
      </c>
      <c r="AN205" s="17">
        <f t="shared" si="55"/>
        <v>0</v>
      </c>
      <c r="AO205" s="11"/>
      <c r="AP205" s="11"/>
      <c r="AQ205" s="11">
        <f t="shared" si="38"/>
        <v>0</v>
      </c>
      <c r="AR205" s="11"/>
      <c r="AS205" s="11">
        <v>44</v>
      </c>
      <c r="AT205" s="11" t="s">
        <v>1494</v>
      </c>
    </row>
    <row r="206" spans="1:46" x14ac:dyDescent="0.15">
      <c r="A206" s="54">
        <v>41791</v>
      </c>
      <c r="B206" s="11" t="s">
        <v>1632</v>
      </c>
      <c r="C206" s="11" t="s">
        <v>387</v>
      </c>
      <c r="D206" s="11" t="s">
        <v>1633</v>
      </c>
      <c r="E206" s="11" t="s">
        <v>1596</v>
      </c>
      <c r="F206" s="11"/>
      <c r="G206" s="11" t="s">
        <v>1615</v>
      </c>
      <c r="H206" s="11" t="s">
        <v>1543</v>
      </c>
      <c r="I206" s="11" t="s">
        <v>1634</v>
      </c>
      <c r="J206" s="11" t="s">
        <v>1635</v>
      </c>
      <c r="K206" s="11" t="s">
        <v>559</v>
      </c>
      <c r="L206" s="11"/>
      <c r="M206" s="11">
        <v>3326070</v>
      </c>
      <c r="N206" s="11"/>
      <c r="O206" s="11"/>
      <c r="P206" s="11"/>
      <c r="Q206" s="15"/>
      <c r="R206" s="16"/>
      <c r="S206" s="11"/>
      <c r="T206" s="11"/>
      <c r="U206" s="11" t="s">
        <v>600</v>
      </c>
      <c r="V206" s="17">
        <v>3.5999999999999997E-2</v>
      </c>
      <c r="W206" s="11">
        <f t="shared" si="60"/>
        <v>119738.51999999999</v>
      </c>
      <c r="X206" s="11"/>
      <c r="Y206" s="11"/>
      <c r="Z206" s="11">
        <f t="shared" si="61"/>
        <v>119738.51999999999</v>
      </c>
      <c r="AA206" s="11">
        <f>300000</f>
        <v>300000</v>
      </c>
      <c r="AB206" s="11">
        <f>300000</f>
        <v>300000</v>
      </c>
      <c r="AC206" s="11">
        <v>0</v>
      </c>
      <c r="AD206" s="11">
        <v>0</v>
      </c>
      <c r="AE206" s="18"/>
      <c r="AF206" s="11"/>
      <c r="AG206" s="11"/>
      <c r="AH206" s="11"/>
      <c r="AI206" s="11"/>
      <c r="AJ206" s="11"/>
      <c r="AK206" s="11"/>
      <c r="AL206" s="11"/>
      <c r="AM206" s="17">
        <v>3.4000000000000002E-2</v>
      </c>
      <c r="AN206" s="17">
        <f t="shared" si="55"/>
        <v>10200</v>
      </c>
      <c r="AO206" s="11"/>
      <c r="AP206" s="11"/>
      <c r="AQ206" s="11">
        <f t="shared" si="38"/>
        <v>10200</v>
      </c>
      <c r="AR206" s="11"/>
      <c r="AS206" s="11">
        <v>35</v>
      </c>
      <c r="AT206" s="11" t="s">
        <v>870</v>
      </c>
    </row>
    <row r="207" spans="1:46" x14ac:dyDescent="0.15">
      <c r="A207" s="54">
        <v>41820</v>
      </c>
      <c r="B207" s="11" t="s">
        <v>1636</v>
      </c>
      <c r="C207" s="11" t="s">
        <v>389</v>
      </c>
      <c r="D207" s="11" t="s">
        <v>1637</v>
      </c>
      <c r="E207" s="11" t="s">
        <v>988</v>
      </c>
      <c r="F207" s="11"/>
      <c r="G207" s="11" t="s">
        <v>1615</v>
      </c>
      <c r="H207" s="11" t="s">
        <v>1638</v>
      </c>
      <c r="I207" s="11" t="s">
        <v>1639</v>
      </c>
      <c r="J207" s="11" t="s">
        <v>1638</v>
      </c>
      <c r="K207" s="11" t="s">
        <v>559</v>
      </c>
      <c r="L207" s="11"/>
      <c r="M207" s="11">
        <v>5305357.5999999996</v>
      </c>
      <c r="N207" s="11"/>
      <c r="O207" s="11"/>
      <c r="P207" s="11"/>
      <c r="Q207" s="15"/>
      <c r="R207" s="16"/>
      <c r="S207" s="11"/>
      <c r="T207" s="11"/>
      <c r="U207" s="11" t="s">
        <v>600</v>
      </c>
      <c r="V207" s="17">
        <v>0.03</v>
      </c>
      <c r="W207" s="11">
        <f t="shared" si="60"/>
        <v>159160.72799999997</v>
      </c>
      <c r="X207" s="11">
        <f>100000</f>
        <v>100000</v>
      </c>
      <c r="Y207" s="11">
        <f>100000</f>
        <v>100000</v>
      </c>
      <c r="Z207" s="11">
        <f t="shared" si="61"/>
        <v>59160.727999999974</v>
      </c>
      <c r="AA207" s="11">
        <f>1060000</f>
        <v>1060000</v>
      </c>
      <c r="AB207" s="11">
        <f>1060000</f>
        <v>1060000</v>
      </c>
      <c r="AC207" s="11">
        <v>1060000</v>
      </c>
      <c r="AD207" s="11">
        <v>1060000</v>
      </c>
      <c r="AE207" s="18">
        <f>AC207/(M207+N207)</f>
        <v>0.19979803057950327</v>
      </c>
      <c r="AF207" s="11">
        <f>200000+150000+6366.43</f>
        <v>356366.43</v>
      </c>
      <c r="AG207" s="11">
        <f>200000+150000+6366.43</f>
        <v>356366.43</v>
      </c>
      <c r="AH207" s="11">
        <f>236040+150000+36040+6366.43</f>
        <v>428446.43</v>
      </c>
      <c r="AI207" s="11"/>
      <c r="AJ207" s="11"/>
      <c r="AK207" s="11"/>
      <c r="AL207" s="11">
        <f>386040+36040+6366.43</f>
        <v>428446.43</v>
      </c>
      <c r="AM207" s="17">
        <v>3.4000000000000002E-2</v>
      </c>
      <c r="AN207" s="17">
        <f t="shared" si="55"/>
        <v>36040</v>
      </c>
      <c r="AO207" s="11">
        <f>36040</f>
        <v>36040</v>
      </c>
      <c r="AP207" s="11">
        <f>36040</f>
        <v>36040</v>
      </c>
      <c r="AQ207" s="11">
        <f t="shared" si="38"/>
        <v>0</v>
      </c>
      <c r="AR207" s="11"/>
      <c r="AS207" s="11">
        <v>72</v>
      </c>
      <c r="AT207" s="11" t="s">
        <v>1440</v>
      </c>
    </row>
    <row r="208" spans="1:46" x14ac:dyDescent="0.15">
      <c r="A208" s="54">
        <v>41821</v>
      </c>
      <c r="B208" s="11" t="s">
        <v>1640</v>
      </c>
      <c r="C208" s="11" t="s">
        <v>411</v>
      </c>
      <c r="D208" s="11" t="s">
        <v>1641</v>
      </c>
      <c r="E208" s="11" t="s">
        <v>1323</v>
      </c>
      <c r="F208" s="11"/>
      <c r="G208" s="11" t="s">
        <v>1593</v>
      </c>
      <c r="H208" s="11" t="s">
        <v>1642</v>
      </c>
      <c r="I208" s="11" t="s">
        <v>1425</v>
      </c>
      <c r="J208" s="11" t="s">
        <v>1642</v>
      </c>
      <c r="K208" s="11"/>
      <c r="L208" s="11"/>
      <c r="M208" s="11">
        <v>743283</v>
      </c>
      <c r="N208" s="11"/>
      <c r="O208" s="11"/>
      <c r="P208" s="11"/>
      <c r="Q208" s="15"/>
      <c r="R208" s="16"/>
      <c r="S208" s="11"/>
      <c r="T208" s="11"/>
      <c r="U208" s="11" t="s">
        <v>573</v>
      </c>
      <c r="V208" s="17">
        <v>3.5999999999999997E-2</v>
      </c>
      <c r="W208" s="11">
        <f t="shared" si="60"/>
        <v>26758.187999999998</v>
      </c>
      <c r="X208" s="11"/>
      <c r="Y208" s="11"/>
      <c r="Z208" s="11">
        <f t="shared" si="61"/>
        <v>26758.187999999998</v>
      </c>
      <c r="AA208" s="11">
        <f>631790.55</f>
        <v>631790.55000000005</v>
      </c>
      <c r="AB208" s="11">
        <f>631790.55</f>
        <v>631790.55000000005</v>
      </c>
      <c r="AC208" s="11">
        <v>0</v>
      </c>
      <c r="AD208" s="11">
        <v>0</v>
      </c>
      <c r="AE208" s="18"/>
      <c r="AF208" s="11"/>
      <c r="AG208" s="11"/>
      <c r="AH208" s="11"/>
      <c r="AI208" s="11"/>
      <c r="AJ208" s="11"/>
      <c r="AK208" s="11"/>
      <c r="AL208" s="11"/>
      <c r="AM208" s="17"/>
      <c r="AN208" s="17">
        <f t="shared" si="55"/>
        <v>0</v>
      </c>
      <c r="AO208" s="11"/>
      <c r="AP208" s="11"/>
      <c r="AQ208" s="11">
        <f t="shared" si="38"/>
        <v>0</v>
      </c>
      <c r="AR208" s="11"/>
      <c r="AS208" s="11">
        <v>10</v>
      </c>
      <c r="AT208" s="11" t="s">
        <v>1643</v>
      </c>
    </row>
    <row r="209" spans="1:46" x14ac:dyDescent="0.15">
      <c r="A209" s="54">
        <v>41837</v>
      </c>
      <c r="B209" s="11" t="s">
        <v>1644</v>
      </c>
      <c r="C209" s="11" t="s">
        <v>1645</v>
      </c>
      <c r="D209" s="11" t="s">
        <v>1646</v>
      </c>
      <c r="E209" s="11" t="s">
        <v>1647</v>
      </c>
      <c r="F209" s="11"/>
      <c r="G209" s="11"/>
      <c r="H209" s="11" t="s">
        <v>1648</v>
      </c>
      <c r="I209" s="25" t="s">
        <v>1649</v>
      </c>
      <c r="J209" s="25" t="s">
        <v>1309</v>
      </c>
      <c r="K209" s="11"/>
      <c r="L209" s="11"/>
      <c r="M209" s="11"/>
      <c r="N209" s="11"/>
      <c r="O209" s="11"/>
      <c r="P209" s="11"/>
      <c r="Q209" s="15"/>
      <c r="R209" s="16"/>
      <c r="S209" s="11"/>
      <c r="T209" s="11"/>
      <c r="U209" s="11" t="s">
        <v>1650</v>
      </c>
      <c r="V209" s="17"/>
      <c r="W209" s="11">
        <f t="shared" si="60"/>
        <v>0</v>
      </c>
      <c r="X209" s="11"/>
      <c r="Y209" s="11"/>
      <c r="Z209" s="11">
        <f t="shared" si="61"/>
        <v>0</v>
      </c>
      <c r="AA209" s="11"/>
      <c r="AB209" s="11"/>
      <c r="AC209" s="11">
        <v>0</v>
      </c>
      <c r="AD209" s="11">
        <v>0</v>
      </c>
      <c r="AE209" s="18"/>
      <c r="AF209" s="11"/>
      <c r="AG209" s="11"/>
      <c r="AH209" s="11"/>
      <c r="AI209" s="11"/>
      <c r="AJ209" s="11"/>
      <c r="AK209" s="11"/>
      <c r="AL209" s="11"/>
      <c r="AM209" s="17"/>
      <c r="AN209" s="17">
        <f t="shared" si="55"/>
        <v>0</v>
      </c>
      <c r="AO209" s="11"/>
      <c r="AP209" s="11"/>
      <c r="AQ209" s="11">
        <f t="shared" si="38"/>
        <v>0</v>
      </c>
      <c r="AR209" s="11"/>
      <c r="AS209" s="11"/>
      <c r="AT209" s="11"/>
    </row>
    <row r="210" spans="1:46" x14ac:dyDescent="0.15">
      <c r="A210" s="54">
        <v>41837</v>
      </c>
      <c r="B210" s="11" t="s">
        <v>1651</v>
      </c>
      <c r="C210" s="11" t="s">
        <v>461</v>
      </c>
      <c r="D210" s="11" t="s">
        <v>1652</v>
      </c>
      <c r="E210" s="11" t="s">
        <v>1653</v>
      </c>
      <c r="F210" s="11"/>
      <c r="G210" s="11" t="s">
        <v>1654</v>
      </c>
      <c r="H210" s="11" t="s">
        <v>1655</v>
      </c>
      <c r="I210" s="11" t="s">
        <v>1656</v>
      </c>
      <c r="J210" s="11" t="s">
        <v>1657</v>
      </c>
      <c r="K210" s="11" t="s">
        <v>559</v>
      </c>
      <c r="L210" s="11"/>
      <c r="M210" s="11">
        <v>5519500</v>
      </c>
      <c r="N210" s="11"/>
      <c r="O210" s="11"/>
      <c r="P210" s="11"/>
      <c r="Q210" s="15"/>
      <c r="R210" s="16"/>
      <c r="S210" s="11"/>
      <c r="T210" s="11"/>
      <c r="U210" s="11" t="s">
        <v>600</v>
      </c>
      <c r="V210" s="17">
        <v>0.03</v>
      </c>
      <c r="W210" s="11">
        <f t="shared" si="60"/>
        <v>165585</v>
      </c>
      <c r="X210" s="11">
        <f>50000</f>
        <v>50000</v>
      </c>
      <c r="Y210" s="11">
        <f>50000</f>
        <v>50000</v>
      </c>
      <c r="Z210" s="11">
        <f t="shared" si="61"/>
        <v>115585</v>
      </c>
      <c r="AA210" s="11">
        <f>1000000</f>
        <v>1000000</v>
      </c>
      <c r="AB210" s="11">
        <f>1000000</f>
        <v>1000000</v>
      </c>
      <c r="AC210" s="11">
        <v>1000000</v>
      </c>
      <c r="AD210" s="11">
        <v>1000000</v>
      </c>
      <c r="AE210" s="18">
        <f>AC210/(M210+N210)</f>
        <v>0.18117583114412536</v>
      </c>
      <c r="AF210" s="11">
        <f>300000+6623.4+394887.52</f>
        <v>701510.92</v>
      </c>
      <c r="AG210" s="11">
        <f>300000+6623.4+394887.52</f>
        <v>701510.92</v>
      </c>
      <c r="AH210" s="11">
        <f>300000+34000+6623.4+394887.52</f>
        <v>735510.92</v>
      </c>
      <c r="AI210" s="11"/>
      <c r="AJ210" s="11"/>
      <c r="AK210" s="11"/>
      <c r="AL210" s="11">
        <f>300000+6623.4+34000+394887.52</f>
        <v>735510.92</v>
      </c>
      <c r="AM210" s="17">
        <v>3.4000000000000002E-2</v>
      </c>
      <c r="AN210" s="17">
        <f t="shared" si="55"/>
        <v>34000</v>
      </c>
      <c r="AO210" s="11">
        <f>34000</f>
        <v>34000</v>
      </c>
      <c r="AP210" s="11">
        <f>34000</f>
        <v>34000</v>
      </c>
      <c r="AQ210" s="11">
        <f t="shared" si="38"/>
        <v>0</v>
      </c>
      <c r="AR210" s="11"/>
      <c r="AS210" s="11">
        <v>77</v>
      </c>
      <c r="AT210" s="11" t="s">
        <v>1127</v>
      </c>
    </row>
    <row r="211" spans="1:46" x14ac:dyDescent="0.15">
      <c r="A211" s="54">
        <v>41837</v>
      </c>
      <c r="B211" s="11" t="s">
        <v>1658</v>
      </c>
      <c r="C211" s="11" t="s">
        <v>459</v>
      </c>
      <c r="D211" s="11" t="s">
        <v>1659</v>
      </c>
      <c r="E211" s="11" t="s">
        <v>1323</v>
      </c>
      <c r="F211" s="11"/>
      <c r="G211" s="11" t="s">
        <v>1325</v>
      </c>
      <c r="H211" s="11" t="s">
        <v>1340</v>
      </c>
      <c r="I211" s="11" t="s">
        <v>912</v>
      </c>
      <c r="J211" s="11" t="s">
        <v>1340</v>
      </c>
      <c r="K211" s="11" t="s">
        <v>559</v>
      </c>
      <c r="L211" s="11"/>
      <c r="M211" s="11">
        <v>14892896.99</v>
      </c>
      <c r="N211" s="11"/>
      <c r="O211" s="11"/>
      <c r="P211" s="11"/>
      <c r="Q211" s="15"/>
      <c r="R211" s="16"/>
      <c r="S211" s="11"/>
      <c r="T211" s="11"/>
      <c r="U211" s="11" t="s">
        <v>573</v>
      </c>
      <c r="V211" s="17"/>
      <c r="W211" s="11">
        <f t="shared" si="60"/>
        <v>0</v>
      </c>
      <c r="X211" s="11"/>
      <c r="Y211" s="11"/>
      <c r="Z211" s="11">
        <f t="shared" si="61"/>
        <v>0</v>
      </c>
      <c r="AA211" s="11"/>
      <c r="AB211" s="11"/>
      <c r="AC211" s="11">
        <v>0</v>
      </c>
      <c r="AD211" s="11">
        <v>0</v>
      </c>
      <c r="AE211" s="18"/>
      <c r="AF211" s="11"/>
      <c r="AG211" s="11"/>
      <c r="AH211" s="11"/>
      <c r="AI211" s="11"/>
      <c r="AJ211" s="11"/>
      <c r="AK211" s="11"/>
      <c r="AL211" s="11"/>
      <c r="AM211" s="17">
        <v>3.4000000000000002E-2</v>
      </c>
      <c r="AN211" s="17">
        <f t="shared" si="55"/>
        <v>0</v>
      </c>
      <c r="AO211" s="11"/>
      <c r="AP211" s="11"/>
      <c r="AQ211" s="11">
        <f t="shared" si="38"/>
        <v>0</v>
      </c>
      <c r="AR211" s="11"/>
      <c r="AS211" s="11"/>
      <c r="AT211" s="11"/>
    </row>
    <row r="212" spans="1:46" x14ac:dyDescent="0.15">
      <c r="A212" s="54">
        <v>41821</v>
      </c>
      <c r="B212" s="11" t="s">
        <v>1660</v>
      </c>
      <c r="C212" s="11" t="s">
        <v>417</v>
      </c>
      <c r="D212" s="11" t="s">
        <v>1661</v>
      </c>
      <c r="E212" s="11" t="s">
        <v>1323</v>
      </c>
      <c r="F212" s="11" t="s">
        <v>1662</v>
      </c>
      <c r="G212" s="11" t="s">
        <v>983</v>
      </c>
      <c r="H212" s="11" t="s">
        <v>1543</v>
      </c>
      <c r="I212" s="11" t="s">
        <v>1544</v>
      </c>
      <c r="J212" s="11" t="s">
        <v>1543</v>
      </c>
      <c r="K212" s="11" t="s">
        <v>559</v>
      </c>
      <c r="L212" s="11"/>
      <c r="M212" s="11">
        <v>1885067.2</v>
      </c>
      <c r="N212" s="11"/>
      <c r="O212" s="11"/>
      <c r="P212" s="11"/>
      <c r="Q212" s="15"/>
      <c r="R212" s="16"/>
      <c r="S212" s="11"/>
      <c r="T212" s="11"/>
      <c r="U212" s="11" t="s">
        <v>600</v>
      </c>
      <c r="V212" s="17">
        <v>3.5999999999999997E-2</v>
      </c>
      <c r="W212" s="11">
        <f t="shared" si="60"/>
        <v>67862.419199999989</v>
      </c>
      <c r="X212" s="11"/>
      <c r="Y212" s="11"/>
      <c r="Z212" s="11">
        <f t="shared" si="61"/>
        <v>67862.419199999989</v>
      </c>
      <c r="AA212" s="11">
        <f>565520</f>
        <v>565520</v>
      </c>
      <c r="AB212" s="11">
        <f>565520</f>
        <v>565520</v>
      </c>
      <c r="AC212" s="11">
        <v>0</v>
      </c>
      <c r="AD212" s="11">
        <v>0</v>
      </c>
      <c r="AE212" s="18"/>
      <c r="AF212" s="11"/>
      <c r="AG212" s="11"/>
      <c r="AH212" s="11"/>
      <c r="AI212" s="11"/>
      <c r="AJ212" s="11"/>
      <c r="AK212" s="11"/>
      <c r="AL212" s="11"/>
      <c r="AM212" s="17">
        <v>3.4000000000000002E-2</v>
      </c>
      <c r="AN212" s="17">
        <f t="shared" si="55"/>
        <v>19227.68</v>
      </c>
      <c r="AO212" s="11"/>
      <c r="AP212" s="11"/>
      <c r="AQ212" s="11">
        <f t="shared" si="38"/>
        <v>19227.68</v>
      </c>
      <c r="AR212" s="11"/>
      <c r="AS212" s="11">
        <v>21</v>
      </c>
      <c r="AT212" s="11" t="s">
        <v>1500</v>
      </c>
    </row>
    <row r="213" spans="1:46" x14ac:dyDescent="0.15">
      <c r="A213" s="54">
        <v>41821</v>
      </c>
      <c r="B213" s="11" t="s">
        <v>1663</v>
      </c>
      <c r="C213" s="11" t="s">
        <v>441</v>
      </c>
      <c r="D213" s="11" t="s">
        <v>1664</v>
      </c>
      <c r="E213" s="11" t="s">
        <v>1323</v>
      </c>
      <c r="F213" s="11"/>
      <c r="G213" s="11" t="s">
        <v>1325</v>
      </c>
      <c r="H213" s="11" t="s">
        <v>1665</v>
      </c>
      <c r="I213" s="11" t="s">
        <v>1666</v>
      </c>
      <c r="J213" s="11" t="s">
        <v>1667</v>
      </c>
      <c r="K213" s="11" t="s">
        <v>1600</v>
      </c>
      <c r="L213" s="11"/>
      <c r="M213" s="11">
        <v>1679000</v>
      </c>
      <c r="N213" s="11"/>
      <c r="O213" s="11"/>
      <c r="P213" s="11"/>
      <c r="Q213" s="15"/>
      <c r="R213" s="16"/>
      <c r="S213" s="11"/>
      <c r="T213" s="11"/>
      <c r="U213" s="11" t="s">
        <v>600</v>
      </c>
      <c r="V213" s="17">
        <v>3.5999999999999997E-2</v>
      </c>
      <c r="W213" s="11">
        <f t="shared" si="60"/>
        <v>60443.999999999993</v>
      </c>
      <c r="X213" s="11"/>
      <c r="Y213" s="11"/>
      <c r="Z213" s="11">
        <f t="shared" si="61"/>
        <v>60443.999999999993</v>
      </c>
      <c r="AA213" s="11"/>
      <c r="AB213" s="11"/>
      <c r="AC213" s="11">
        <v>0</v>
      </c>
      <c r="AD213" s="11">
        <v>0</v>
      </c>
      <c r="AE213" s="18"/>
      <c r="AF213" s="11"/>
      <c r="AG213" s="11"/>
      <c r="AH213" s="11"/>
      <c r="AI213" s="11"/>
      <c r="AJ213" s="11"/>
      <c r="AK213" s="11"/>
      <c r="AL213" s="11"/>
      <c r="AM213" s="17">
        <v>3.4000000000000002E-2</v>
      </c>
      <c r="AN213" s="17">
        <f t="shared" si="55"/>
        <v>0</v>
      </c>
      <c r="AO213" s="11"/>
      <c r="AP213" s="11"/>
      <c r="AQ213" s="11">
        <f t="shared" si="38"/>
        <v>0</v>
      </c>
      <c r="AR213" s="11"/>
      <c r="AS213" s="11">
        <v>19</v>
      </c>
      <c r="AT213" s="11" t="s">
        <v>1500</v>
      </c>
    </row>
    <row r="214" spans="1:46" x14ac:dyDescent="0.15">
      <c r="A214" s="54">
        <v>41821</v>
      </c>
      <c r="B214" s="11" t="s">
        <v>1668</v>
      </c>
      <c r="C214" s="11" t="s">
        <v>397</v>
      </c>
      <c r="D214" s="11" t="s">
        <v>1669</v>
      </c>
      <c r="E214" s="11" t="s">
        <v>1323</v>
      </c>
      <c r="F214" s="11"/>
      <c r="G214" s="11" t="s">
        <v>1325</v>
      </c>
      <c r="H214" s="11" t="s">
        <v>1403</v>
      </c>
      <c r="I214" s="11" t="s">
        <v>1670</v>
      </c>
      <c r="J214" s="11" t="s">
        <v>1410</v>
      </c>
      <c r="K214" s="11" t="s">
        <v>1671</v>
      </c>
      <c r="L214" s="11"/>
      <c r="M214" s="11">
        <v>1758061</v>
      </c>
      <c r="N214" s="11"/>
      <c r="O214" s="11"/>
      <c r="P214" s="11"/>
      <c r="Q214" s="15"/>
      <c r="R214" s="16"/>
      <c r="S214" s="11"/>
      <c r="T214" s="11"/>
      <c r="U214" s="11" t="s">
        <v>600</v>
      </c>
      <c r="V214" s="17">
        <v>3.5999999999999997E-2</v>
      </c>
      <c r="W214" s="11">
        <f t="shared" si="60"/>
        <v>63290.195999999996</v>
      </c>
      <c r="X214" s="11"/>
      <c r="Y214" s="11"/>
      <c r="Z214" s="11">
        <f t="shared" si="61"/>
        <v>63290.195999999996</v>
      </c>
      <c r="AA214" s="11">
        <f>527418.3</f>
        <v>527418.30000000005</v>
      </c>
      <c r="AB214" s="11">
        <f>527418.3</f>
        <v>527418.30000000005</v>
      </c>
      <c r="AC214" s="11">
        <v>0</v>
      </c>
      <c r="AD214" s="11">
        <v>0</v>
      </c>
      <c r="AE214" s="18"/>
      <c r="AF214" s="11"/>
      <c r="AG214" s="11"/>
      <c r="AH214" s="11"/>
      <c r="AI214" s="11"/>
      <c r="AJ214" s="11"/>
      <c r="AK214" s="11"/>
      <c r="AL214" s="11"/>
      <c r="AM214" s="17">
        <v>3.4000000000000002E-2</v>
      </c>
      <c r="AN214" s="17">
        <f t="shared" si="55"/>
        <v>17932.222200000004</v>
      </c>
      <c r="AO214" s="11"/>
      <c r="AP214" s="11"/>
      <c r="AQ214" s="11">
        <f t="shared" si="38"/>
        <v>17932.222200000004</v>
      </c>
      <c r="AR214" s="11"/>
      <c r="AS214" s="11"/>
      <c r="AT214" s="11"/>
    </row>
    <row r="215" spans="1:46" x14ac:dyDescent="0.15">
      <c r="A215" s="54">
        <v>41855</v>
      </c>
      <c r="B215" s="11" t="s">
        <v>1672</v>
      </c>
      <c r="C215" s="11" t="s">
        <v>463</v>
      </c>
      <c r="D215" s="11" t="s">
        <v>1673</v>
      </c>
      <c r="E215" s="11" t="s">
        <v>1653</v>
      </c>
      <c r="F215" s="11" t="s">
        <v>1674</v>
      </c>
      <c r="G215" s="11" t="s">
        <v>1654</v>
      </c>
      <c r="H215" s="11" t="s">
        <v>1675</v>
      </c>
      <c r="I215" s="11" t="s">
        <v>1676</v>
      </c>
      <c r="J215" s="11" t="s">
        <v>1677</v>
      </c>
      <c r="K215" s="11" t="s">
        <v>1671</v>
      </c>
      <c r="L215" s="11"/>
      <c r="M215" s="11">
        <v>100000</v>
      </c>
      <c r="N215" s="11"/>
      <c r="O215" s="11"/>
      <c r="P215" s="11"/>
      <c r="Q215" s="15"/>
      <c r="R215" s="16"/>
      <c r="S215" s="11"/>
      <c r="T215" s="11"/>
      <c r="U215" s="11" t="s">
        <v>1678</v>
      </c>
      <c r="V215" s="17">
        <v>3.5999999999999997E-2</v>
      </c>
      <c r="W215" s="11">
        <f t="shared" si="60"/>
        <v>3599.9999999999995</v>
      </c>
      <c r="X215" s="11"/>
      <c r="Y215" s="11"/>
      <c r="Z215" s="11">
        <f t="shared" si="61"/>
        <v>3599.9999999999995</v>
      </c>
      <c r="AA215" s="11"/>
      <c r="AB215" s="11"/>
      <c r="AC215" s="11">
        <v>0</v>
      </c>
      <c r="AD215" s="11">
        <v>0</v>
      </c>
      <c r="AE215" s="18"/>
      <c r="AF215" s="11"/>
      <c r="AG215" s="11"/>
      <c r="AH215" s="11"/>
      <c r="AI215" s="11"/>
      <c r="AJ215" s="11"/>
      <c r="AK215" s="11"/>
      <c r="AL215" s="11"/>
      <c r="AM215" s="17">
        <v>3.4000000000000002E-2</v>
      </c>
      <c r="AN215" s="17">
        <f t="shared" si="55"/>
        <v>0</v>
      </c>
      <c r="AO215" s="11"/>
      <c r="AP215" s="11"/>
      <c r="AQ215" s="11">
        <f t="shared" si="38"/>
        <v>0</v>
      </c>
      <c r="AR215" s="11"/>
      <c r="AS215" s="11"/>
      <c r="AT215" s="11"/>
    </row>
  </sheetData>
  <sheetProtection formatCells="0" formatColumns="0" formatRows="0" insertRows="0" deleteRows="0" sort="0" autoFilter="0" pivotTables="0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校对</vt:lpstr>
      <vt:lpstr>导出</vt:lpstr>
      <vt:lpstr>计算</vt:lpstr>
      <vt:lpstr>全部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dcterms:created xsi:type="dcterms:W3CDTF">2014-09-30T06:20:31Z</dcterms:created>
  <dcterms:modified xsi:type="dcterms:W3CDTF">2014-10-24T08:44:57Z</dcterms:modified>
</cp:coreProperties>
</file>