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54" documentId="13_ncr:1_{E497A189-4178-4808-A0D0-DA0BD247852C}" xr6:coauthVersionLast="41" xr6:coauthVersionMax="41" xr10:uidLastSave="{774992B1-49F5-4036-9BC7-0C18B377DC5C}"/>
  <bookViews>
    <workbookView xWindow="0" yWindow="1020" windowWidth="18000" windowHeight="9360" xr2:uid="{00000000-000D-0000-FFFF-FFFF00000000}"/>
  </bookViews>
  <sheets>
    <sheet name="Sheet1" sheetId="1" r:id="rId1"/>
    <sheet name="Step Up" sheetId="2" r:id="rId2"/>
  </sheets>
  <definedNames>
    <definedName name="vref">'Step Up'!$B$1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L4" i="1"/>
  <c r="M4" i="1"/>
  <c r="N4" i="1"/>
  <c r="O4" i="1"/>
  <c r="P4" i="1"/>
  <c r="L5" i="1"/>
  <c r="M5" i="1"/>
  <c r="N5" i="1"/>
  <c r="O5" i="1" s="1"/>
  <c r="L6" i="1"/>
  <c r="M6" i="1"/>
  <c r="N6" i="1"/>
  <c r="O6" i="1" s="1"/>
  <c r="L7" i="1"/>
  <c r="M7" i="1"/>
  <c r="N7" i="1"/>
  <c r="O7" i="1" s="1"/>
  <c r="P7" i="1"/>
  <c r="N3" i="1"/>
  <c r="M3" i="1"/>
  <c r="L3" i="1"/>
  <c r="L12" i="1"/>
  <c r="L13" i="1"/>
  <c r="L14" i="1"/>
  <c r="L11" i="1"/>
  <c r="P6" i="1" l="1"/>
  <c r="P5" i="1"/>
  <c r="P3" i="1"/>
  <c r="O3" i="1"/>
  <c r="T4" i="2"/>
  <c r="T7" i="2"/>
  <c r="T3" i="2"/>
  <c r="S4" i="2"/>
  <c r="S7" i="2"/>
  <c r="S3" i="2"/>
  <c r="R4" i="2"/>
  <c r="R7" i="2"/>
  <c r="R3" i="2"/>
  <c r="Q4" i="2"/>
  <c r="Q7" i="2"/>
  <c r="Q3" i="2"/>
  <c r="N4" i="2"/>
  <c r="O4" i="2" s="1"/>
  <c r="P4" i="2" s="1"/>
  <c r="N7" i="2"/>
  <c r="O7" i="2" s="1"/>
  <c r="P7" i="2" s="1"/>
  <c r="N3" i="2"/>
  <c r="O3" i="2" s="1"/>
  <c r="P3" i="2" s="1"/>
  <c r="M4" i="2"/>
  <c r="M5" i="2"/>
  <c r="M6" i="2"/>
  <c r="M7" i="2"/>
  <c r="M3" i="2"/>
  <c r="L4" i="2"/>
  <c r="L5" i="2"/>
  <c r="L6" i="2"/>
  <c r="L7" i="2"/>
  <c r="L3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B15" i="2"/>
  <c r="G14" i="2"/>
  <c r="F14" i="2"/>
  <c r="B14" i="2"/>
  <c r="G13" i="2"/>
  <c r="F13" i="2"/>
  <c r="C13" i="2"/>
  <c r="C15" i="2" s="1"/>
  <c r="G12" i="2"/>
  <c r="F12" i="2"/>
  <c r="G11" i="2"/>
  <c r="F11" i="2"/>
  <c r="B10" i="2"/>
  <c r="K7" i="2"/>
  <c r="J7" i="2"/>
  <c r="I7" i="2"/>
  <c r="G7" i="2"/>
  <c r="F7" i="2"/>
  <c r="K6" i="2"/>
  <c r="I6" i="2"/>
  <c r="J6" i="2" s="1"/>
  <c r="G6" i="2"/>
  <c r="F6" i="2"/>
  <c r="K5" i="2"/>
  <c r="J5" i="2"/>
  <c r="I5" i="2"/>
  <c r="G5" i="2"/>
  <c r="F5" i="2"/>
  <c r="K4" i="2"/>
  <c r="I4" i="2"/>
  <c r="J4" i="2" s="1"/>
  <c r="G4" i="2"/>
  <c r="F4" i="2"/>
  <c r="K3" i="2"/>
  <c r="J3" i="2"/>
  <c r="J8" i="2" s="1"/>
  <c r="I3" i="2"/>
  <c r="G3" i="2"/>
  <c r="F3" i="2"/>
  <c r="C14" i="2" l="1"/>
  <c r="Q12" i="1"/>
  <c r="P12" i="1"/>
  <c r="P13" i="1"/>
  <c r="Q13" i="1" s="1"/>
  <c r="P11" i="1"/>
  <c r="Q11" i="1" s="1"/>
  <c r="B15" i="1" l="1"/>
  <c r="B14" i="1"/>
  <c r="C13" i="1"/>
  <c r="C14" i="1" s="1"/>
  <c r="F24" i="1"/>
  <c r="G24" i="1"/>
  <c r="C15" i="1" l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G11" i="1"/>
  <c r="F11" i="1"/>
  <c r="C10" i="1"/>
  <c r="B10" i="1"/>
  <c r="K7" i="1"/>
  <c r="I7" i="1"/>
  <c r="J7" i="1" s="1"/>
  <c r="G7" i="1"/>
  <c r="F7" i="1"/>
  <c r="K6" i="1"/>
  <c r="I6" i="1"/>
  <c r="J6" i="1" s="1"/>
  <c r="G6" i="1"/>
  <c r="F6" i="1"/>
  <c r="K5" i="1"/>
  <c r="I5" i="1"/>
  <c r="J5" i="1" s="1"/>
  <c r="G5" i="1"/>
  <c r="F5" i="1"/>
  <c r="K4" i="1"/>
  <c r="I4" i="1"/>
  <c r="J4" i="1" s="1"/>
  <c r="G4" i="1"/>
  <c r="F4" i="1"/>
  <c r="K3" i="1"/>
  <c r="I3" i="1"/>
  <c r="J3" i="1" s="1"/>
  <c r="G3" i="1"/>
  <c r="F3" i="1"/>
  <c r="J8" i="1" l="1"/>
</calcChain>
</file>

<file path=xl/sharedStrings.xml><?xml version="1.0" encoding="utf-8"?>
<sst xmlns="http://schemas.openxmlformats.org/spreadsheetml/2006/main" count="88" uniqueCount="46">
  <si>
    <t>LED V Drop (V)</t>
  </si>
  <si>
    <t>Peak Power (W)</t>
  </si>
  <si>
    <t>Light</t>
  </si>
  <si>
    <t>LEDs Required</t>
  </si>
  <si>
    <t>Min</t>
  </si>
  <si>
    <t>Max</t>
  </si>
  <si>
    <t>Peak Current (A)</t>
  </si>
  <si>
    <t>Lines Required</t>
  </si>
  <si>
    <t>LEDs per Line</t>
  </si>
  <si>
    <t>Max V drop</t>
  </si>
  <si>
    <t>Total Current to lights</t>
  </si>
  <si>
    <t>Head</t>
  </si>
  <si>
    <t>High Beam</t>
  </si>
  <si>
    <t>Left Ind.</t>
  </si>
  <si>
    <t>Right Ind.</t>
  </si>
  <si>
    <t>Tail</t>
  </si>
  <si>
    <t>Battery V:</t>
  </si>
  <si>
    <t>Resistance needed on reg</t>
  </si>
  <si>
    <t>Power across resistors</t>
  </si>
  <si>
    <t>Power alloance</t>
  </si>
  <si>
    <t>V</t>
  </si>
  <si>
    <t>Min Resis</t>
  </si>
  <si>
    <t>Max I</t>
  </si>
  <si>
    <t>I</t>
  </si>
  <si>
    <t>R1</t>
  </si>
  <si>
    <t>R2</t>
  </si>
  <si>
    <t>I indep</t>
  </si>
  <si>
    <t>Res I have</t>
  </si>
  <si>
    <t>Power</t>
  </si>
  <si>
    <t>P indep</t>
  </si>
  <si>
    <t>Max V</t>
  </si>
  <si>
    <t>Vref</t>
  </si>
  <si>
    <t>Vout from step up</t>
  </si>
  <si>
    <t>R sense</t>
  </si>
  <si>
    <t>Max Current possible</t>
  </si>
  <si>
    <t>D max</t>
  </si>
  <si>
    <t>Vf</t>
  </si>
  <si>
    <t>ET</t>
  </si>
  <si>
    <t>I ind</t>
  </si>
  <si>
    <t>L min (uH)</t>
  </si>
  <si>
    <t>Spec Inductor</t>
  </si>
  <si>
    <t>H220</t>
  </si>
  <si>
    <t>H150</t>
  </si>
  <si>
    <t>Ref</t>
  </si>
  <si>
    <t>95% power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</si>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</sst>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5" xfId="0" applyFont="1" applyBorder="1" applyAlignment="1">
      <alignment horizontal="left" wrapText="1"/>
    </xf>
    <xf numFmtId="0" fontId="1" fillId="2" borderId="5" xfId="1" applyBorder="1" applyAlignment="1">
      <alignment wrapText="1"/>
    </xf>
    <xf numFmtId="2" fontId="2" fillId="0" borderId="1" xfId="0" applyNumberFormat="1" applyFont="1" applyBorder="1"/>
    <xf numFmtId="1" fontId="0" fillId="0" borderId="2" xfId="0" applyNumberFormat="1" applyBorder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 applyAlignment="1">
      <alignment horizontal="left"/>
    </xf>
    <xf numFmtId="164" fontId="0" fillId="0" borderId="2" xfId="0" applyNumberFormat="1" applyBorder="1"/>
    <xf numFmtId="2" fontId="0" fillId="0" borderId="2" xfId="0" applyNumberFormat="1" applyBorder="1" applyAlignment="1">
      <alignment horizontal="right"/>
    </xf>
    <xf numFmtId="2" fontId="0" fillId="0" borderId="3" xfId="0" applyNumberFormat="1" applyBorder="1" applyAlignment="1">
      <alignment horizontal="left"/>
    </xf>
    <xf numFmtId="1" fontId="0" fillId="0" borderId="1" xfId="0" applyNumberFormat="1" applyBorder="1"/>
    <xf numFmtId="1" fontId="0" fillId="0" borderId="2" xfId="0" applyNumberFormat="1" applyBorder="1"/>
    <xf numFmtId="2" fontId="0" fillId="0" borderId="2" xfId="0" applyNumberFormat="1" applyBorder="1"/>
    <xf numFmtId="2" fontId="2" fillId="0" borderId="4" xfId="0" applyNumberFormat="1" applyFont="1" applyBorder="1"/>
    <xf numFmtId="1" fontId="0" fillId="0" borderId="0" xfId="0" applyNumberFormat="1" applyAlignment="1">
      <alignment horizontal="center"/>
    </xf>
    <xf numFmtId="2" fontId="0" fillId="0" borderId="4" xfId="0" applyNumberFormat="1" applyBorder="1"/>
    <xf numFmtId="2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right"/>
    </xf>
    <xf numFmtId="2" fontId="0" fillId="0" borderId="5" xfId="0" applyNumberFormat="1" applyBorder="1" applyAlignment="1">
      <alignment horizontal="left"/>
    </xf>
    <xf numFmtId="1" fontId="0" fillId="0" borderId="4" xfId="0" applyNumberFormat="1" applyBorder="1"/>
    <xf numFmtId="1" fontId="0" fillId="0" borderId="0" xfId="0" applyNumberFormat="1"/>
    <xf numFmtId="2" fontId="0" fillId="0" borderId="0" xfId="0" applyNumberFormat="1"/>
    <xf numFmtId="2" fontId="2" fillId="0" borderId="6" xfId="0" applyNumberFormat="1" applyFont="1" applyBorder="1"/>
    <xf numFmtId="1" fontId="0" fillId="0" borderId="7" xfId="0" applyNumberFormat="1" applyBorder="1" applyAlignment="1">
      <alignment horizontal="center"/>
    </xf>
    <xf numFmtId="2" fontId="0" fillId="0" borderId="6" xfId="0" applyNumberFormat="1" applyBorder="1"/>
    <xf numFmtId="2" fontId="0" fillId="0" borderId="7" xfId="0" applyNumberFormat="1" applyBorder="1" applyAlignment="1">
      <alignment horizontal="left"/>
    </xf>
    <xf numFmtId="164" fontId="0" fillId="0" borderId="7" xfId="0" applyNumberFormat="1" applyBorder="1"/>
    <xf numFmtId="2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left"/>
    </xf>
    <xf numFmtId="1" fontId="0" fillId="0" borderId="6" xfId="0" applyNumberFormat="1" applyBorder="1"/>
    <xf numFmtId="1" fontId="0" fillId="0" borderId="7" xfId="0" applyNumberFormat="1" applyBorder="1"/>
    <xf numFmtId="2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/>
    <xf numFmtId="0" fontId="0" fillId="3" borderId="0" xfId="0" applyFill="1"/>
    <xf numFmtId="165" fontId="1" fillId="2" borderId="3" xfId="1" applyNumberFormat="1" applyBorder="1"/>
    <xf numFmtId="165" fontId="1" fillId="2" borderId="5" xfId="1" applyNumberFormat="1" applyBorder="1"/>
    <xf numFmtId="165" fontId="1" fillId="2" borderId="8" xfId="1" applyNumberFormat="1" applyBorder="1"/>
    <xf numFmtId="0" fontId="2" fillId="4" borderId="0" xfId="0" applyFont="1" applyFill="1" applyAlignment="1">
      <alignment wrapText="1"/>
    </xf>
    <xf numFmtId="0" fontId="0" fillId="4" borderId="0" xfId="0" applyFill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0" xfId="1" applyAlignment="1">
      <alignment wrapText="1"/>
    </xf>
    <xf numFmtId="165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topLeftCell="H1" workbookViewId="0">
      <selection activeCell="J16" sqref="J16"/>
    </sheetView>
  </sheetViews>
  <sheetFormatPr defaultRowHeight="15" x14ac:dyDescent="0.25"/>
  <cols>
    <col min="3" max="3" width="7.5703125" customWidth="1"/>
    <col min="5" max="5" width="8.140625" customWidth="1"/>
    <col min="6" max="6" width="7.85546875" customWidth="1"/>
    <col min="7" max="7" width="9.42578125" bestFit="1" customWidth="1"/>
    <col min="9" max="9" width="5" bestFit="1" customWidth="1"/>
    <col min="10" max="10" width="6.5703125" bestFit="1" customWidth="1"/>
    <col min="13" max="13" width="10.5703125" bestFit="1" customWidth="1"/>
    <col min="14" max="14" width="13.140625" customWidth="1"/>
    <col min="15" max="15" width="10.5703125" bestFit="1" customWidth="1"/>
  </cols>
  <sheetData>
    <row r="1" spans="1:17" x14ac:dyDescent="0.25">
      <c r="A1" s="1"/>
      <c r="B1" s="1"/>
      <c r="C1" s="56" t="s">
        <v>0</v>
      </c>
      <c r="D1" s="57"/>
      <c r="E1" s="2"/>
      <c r="F1" s="57" t="s">
        <v>1</v>
      </c>
      <c r="G1" s="58"/>
      <c r="H1" s="3"/>
      <c r="I1" s="2"/>
      <c r="J1" s="2"/>
      <c r="K1" s="4"/>
      <c r="L1" t="s">
        <v>43</v>
      </c>
      <c r="M1">
        <v>0.2</v>
      </c>
      <c r="N1" s="1"/>
    </row>
    <row r="2" spans="1:17" ht="60.75" thickBot="1" x14ac:dyDescent="0.3">
      <c r="A2" s="1" t="s">
        <v>2</v>
      </c>
      <c r="B2" s="1" t="s">
        <v>3</v>
      </c>
      <c r="C2" s="5" t="s">
        <v>4</v>
      </c>
      <c r="D2" s="6" t="s">
        <v>5</v>
      </c>
      <c r="E2" s="1" t="s">
        <v>6</v>
      </c>
      <c r="F2" s="7" t="s">
        <v>4</v>
      </c>
      <c r="G2" s="8" t="s">
        <v>5</v>
      </c>
      <c r="H2" s="5" t="s">
        <v>7</v>
      </c>
      <c r="I2" s="1" t="s">
        <v>8</v>
      </c>
      <c r="J2" s="1" t="s">
        <v>9</v>
      </c>
      <c r="K2" s="9" t="s">
        <v>10</v>
      </c>
      <c r="L2" s="1" t="s">
        <v>17</v>
      </c>
      <c r="M2" s="1" t="s">
        <v>18</v>
      </c>
      <c r="N2" s="59" t="s">
        <v>44</v>
      </c>
      <c r="O2" s="1" t="s">
        <v>17</v>
      </c>
      <c r="P2" s="1" t="s">
        <v>18</v>
      </c>
    </row>
    <row r="3" spans="1:17" x14ac:dyDescent="0.25">
      <c r="A3" s="10" t="s">
        <v>11</v>
      </c>
      <c r="B3" s="11">
        <v>8</v>
      </c>
      <c r="C3" s="12">
        <v>3.2</v>
      </c>
      <c r="D3" s="13">
        <v>3.4</v>
      </c>
      <c r="E3" s="14">
        <v>0.35</v>
      </c>
      <c r="F3" s="15">
        <f t="shared" ref="F3:G7" si="0">C3*$E3</f>
        <v>1.1199999999999999</v>
      </c>
      <c r="G3" s="16">
        <f t="shared" si="0"/>
        <v>1.19</v>
      </c>
      <c r="H3" s="17">
        <v>1</v>
      </c>
      <c r="I3" s="18">
        <f>B3/H3</f>
        <v>8</v>
      </c>
      <c r="J3" s="19">
        <f>I3*D3</f>
        <v>27.2</v>
      </c>
      <c r="K3" s="51">
        <f>H3*E3</f>
        <v>0.35</v>
      </c>
      <c r="L3" s="49">
        <f>$M$1/K3</f>
        <v>0.57142857142857151</v>
      </c>
      <c r="M3" s="23">
        <f>$M$1*K3</f>
        <v>6.9999999999999993E-2</v>
      </c>
      <c r="N3" s="60">
        <f>0.95*K3</f>
        <v>0.33249999999999996</v>
      </c>
      <c r="O3" s="49">
        <f>$M$1/N3</f>
        <v>0.60150375939849632</v>
      </c>
      <c r="P3" s="23">
        <f>$M$1*N3</f>
        <v>6.649999999999999E-2</v>
      </c>
    </row>
    <row r="4" spans="1:17" x14ac:dyDescent="0.25">
      <c r="A4" s="20" t="s">
        <v>12</v>
      </c>
      <c r="B4" s="21">
        <v>2</v>
      </c>
      <c r="C4" s="22">
        <v>9</v>
      </c>
      <c r="D4" s="23">
        <v>12</v>
      </c>
      <c r="E4" s="24">
        <v>1.05</v>
      </c>
      <c r="F4" s="25">
        <f t="shared" si="0"/>
        <v>9.4500000000000011</v>
      </c>
      <c r="G4" s="26">
        <f t="shared" si="0"/>
        <v>12.600000000000001</v>
      </c>
      <c r="H4" s="27">
        <v>1</v>
      </c>
      <c r="I4" s="28">
        <f>B4/H4</f>
        <v>2</v>
      </c>
      <c r="J4" s="29">
        <f>I4*D4</f>
        <v>24</v>
      </c>
      <c r="K4" s="52">
        <f>H4*E4</f>
        <v>1.05</v>
      </c>
      <c r="L4" s="49">
        <f t="shared" ref="L4:L7" si="1">$M$1/K4</f>
        <v>0.19047619047619047</v>
      </c>
      <c r="M4" s="23">
        <f t="shared" ref="M4:M7" si="2">$M$1*K4</f>
        <v>0.21000000000000002</v>
      </c>
      <c r="N4" s="60">
        <f t="shared" ref="N4:N7" si="3">0.95*K4</f>
        <v>0.99749999999999994</v>
      </c>
      <c r="O4" s="49">
        <f t="shared" ref="O4:O7" si="4">$M$1/N4</f>
        <v>0.2005012531328321</v>
      </c>
      <c r="P4" s="23">
        <f t="shared" ref="P4:P7" si="5">$M$1*N4</f>
        <v>0.19950000000000001</v>
      </c>
    </row>
    <row r="5" spans="1:17" x14ac:dyDescent="0.25">
      <c r="A5" s="20" t="s">
        <v>13</v>
      </c>
      <c r="B5" s="21">
        <v>8</v>
      </c>
      <c r="C5" s="22">
        <v>2</v>
      </c>
      <c r="D5" s="23">
        <v>2.2000000000000002</v>
      </c>
      <c r="E5" s="24">
        <v>0.26250000000000001</v>
      </c>
      <c r="F5" s="25">
        <f t="shared" si="0"/>
        <v>0.52500000000000002</v>
      </c>
      <c r="G5" s="26">
        <f t="shared" si="0"/>
        <v>0.57750000000000012</v>
      </c>
      <c r="H5" s="27">
        <v>1</v>
      </c>
      <c r="I5" s="28">
        <f>B5/H5</f>
        <v>8</v>
      </c>
      <c r="J5" s="29">
        <f>I5*D5</f>
        <v>17.600000000000001</v>
      </c>
      <c r="K5" s="52">
        <f>H5*E5</f>
        <v>0.26250000000000001</v>
      </c>
      <c r="L5" s="49">
        <f t="shared" si="1"/>
        <v>0.76190476190476186</v>
      </c>
      <c r="M5" s="23">
        <f t="shared" si="2"/>
        <v>5.2500000000000005E-2</v>
      </c>
      <c r="N5" s="60">
        <f t="shared" si="3"/>
        <v>0.24937499999999999</v>
      </c>
      <c r="O5" s="49">
        <f t="shared" si="4"/>
        <v>0.80200501253132839</v>
      </c>
      <c r="P5" s="23">
        <f t="shared" si="5"/>
        <v>4.9875000000000003E-2</v>
      </c>
    </row>
    <row r="6" spans="1:17" x14ac:dyDescent="0.25">
      <c r="A6" s="20" t="s">
        <v>14</v>
      </c>
      <c r="B6" s="21">
        <v>8</v>
      </c>
      <c r="C6" s="22">
        <v>2</v>
      </c>
      <c r="D6" s="23">
        <v>2.2000000000000002</v>
      </c>
      <c r="E6" s="24">
        <v>0.26250000000000001</v>
      </c>
      <c r="F6" s="25">
        <f t="shared" si="0"/>
        <v>0.52500000000000002</v>
      </c>
      <c r="G6" s="26">
        <f t="shared" si="0"/>
        <v>0.57750000000000012</v>
      </c>
      <c r="H6" s="27">
        <v>1</v>
      </c>
      <c r="I6" s="28">
        <f>B6/H6</f>
        <v>8</v>
      </c>
      <c r="J6" s="29">
        <f>I6*D6</f>
        <v>17.600000000000001</v>
      </c>
      <c r="K6" s="52">
        <f>H6*E6</f>
        <v>0.26250000000000001</v>
      </c>
      <c r="L6" s="49">
        <f t="shared" si="1"/>
        <v>0.76190476190476186</v>
      </c>
      <c r="M6" s="23">
        <f t="shared" si="2"/>
        <v>5.2500000000000005E-2</v>
      </c>
      <c r="N6" s="60">
        <f t="shared" si="3"/>
        <v>0.24937499999999999</v>
      </c>
      <c r="O6" s="49">
        <f t="shared" si="4"/>
        <v>0.80200501253132839</v>
      </c>
      <c r="P6" s="23">
        <f t="shared" si="5"/>
        <v>4.9875000000000003E-2</v>
      </c>
    </row>
    <row r="7" spans="1:17" ht="15.75" thickBot="1" x14ac:dyDescent="0.3">
      <c r="A7" s="30" t="s">
        <v>15</v>
      </c>
      <c r="B7" s="31">
        <v>8</v>
      </c>
      <c r="C7" s="32">
        <v>1.7</v>
      </c>
      <c r="D7" s="33">
        <v>1.9</v>
      </c>
      <c r="E7" s="34">
        <v>0.26250000000000001</v>
      </c>
      <c r="F7" s="35">
        <f t="shared" si="0"/>
        <v>0.44624999999999998</v>
      </c>
      <c r="G7" s="36">
        <f t="shared" si="0"/>
        <v>0.49874999999999997</v>
      </c>
      <c r="H7" s="37">
        <v>1</v>
      </c>
      <c r="I7" s="38">
        <f>B7/H7</f>
        <v>8</v>
      </c>
      <c r="J7" s="39">
        <f>I7*D7</f>
        <v>15.2</v>
      </c>
      <c r="K7" s="53">
        <f>H7*E7</f>
        <v>0.26250000000000001</v>
      </c>
      <c r="L7" s="49">
        <f t="shared" si="1"/>
        <v>0.76190476190476186</v>
      </c>
      <c r="M7" s="23">
        <f t="shared" si="2"/>
        <v>5.2500000000000005E-2</v>
      </c>
      <c r="N7" s="60">
        <f t="shared" si="3"/>
        <v>0.24937499999999999</v>
      </c>
      <c r="O7" s="49">
        <f t="shared" si="4"/>
        <v>0.80200501253132839</v>
      </c>
      <c r="P7" s="23">
        <f t="shared" si="5"/>
        <v>4.9875000000000003E-2</v>
      </c>
    </row>
    <row r="8" spans="1:17" ht="15.75" thickBot="1" x14ac:dyDescent="0.3">
      <c r="B8" s="40"/>
      <c r="D8" s="41"/>
      <c r="F8" s="42"/>
      <c r="J8" s="29">
        <f>MAX(J3:J7)+1.25</f>
        <v>28.45</v>
      </c>
      <c r="K8" t="s">
        <v>30</v>
      </c>
    </row>
    <row r="9" spans="1:17" x14ac:dyDescent="0.25">
      <c r="A9" s="43"/>
      <c r="B9" s="44" t="s">
        <v>5</v>
      </c>
      <c r="C9" s="45" t="s">
        <v>4</v>
      </c>
      <c r="D9" s="41"/>
      <c r="F9" s="42"/>
    </row>
    <row r="10" spans="1:17" ht="15.75" thickBot="1" x14ac:dyDescent="0.3">
      <c r="A10" s="46" t="s">
        <v>16</v>
      </c>
      <c r="B10" s="47">
        <f>3*4.1</f>
        <v>12.299999999999999</v>
      </c>
      <c r="C10" s="48">
        <f>3*3.7</f>
        <v>11.100000000000001</v>
      </c>
      <c r="D10" s="42" t="s">
        <v>20</v>
      </c>
      <c r="E10" t="s">
        <v>19</v>
      </c>
      <c r="F10" t="s">
        <v>22</v>
      </c>
      <c r="G10" t="s">
        <v>21</v>
      </c>
      <c r="J10" t="s">
        <v>27</v>
      </c>
      <c r="K10" t="s">
        <v>28</v>
      </c>
      <c r="L10" t="s">
        <v>45</v>
      </c>
    </row>
    <row r="11" spans="1:17" x14ac:dyDescent="0.25">
      <c r="D11">
        <v>1.25</v>
      </c>
      <c r="E11" s="50">
        <v>0.01</v>
      </c>
      <c r="F11" s="49">
        <f>E11/$D$11</f>
        <v>8.0000000000000002E-3</v>
      </c>
      <c r="G11" s="29">
        <f>($D$11^2)/E11</f>
        <v>156.25</v>
      </c>
      <c r="J11">
        <v>0.33</v>
      </c>
      <c r="K11">
        <v>5</v>
      </c>
      <c r="L11">
        <f>$M$1/J11</f>
        <v>0.60606060606060608</v>
      </c>
      <c r="O11" s="49">
        <v>1.4</v>
      </c>
      <c r="P11" s="49">
        <f>4.4/O11</f>
        <v>3.1428571428571432</v>
      </c>
      <c r="Q11" s="29">
        <f>O11*O11*P11</f>
        <v>6.16</v>
      </c>
    </row>
    <row r="12" spans="1:17" x14ac:dyDescent="0.25">
      <c r="A12" t="s">
        <v>23</v>
      </c>
      <c r="B12" t="s">
        <v>24</v>
      </c>
      <c r="C12" t="s">
        <v>25</v>
      </c>
      <c r="E12" s="50">
        <v>2.5000000000000001E-2</v>
      </c>
      <c r="F12" s="49">
        <f t="shared" ref="F12:F23" si="6">E12/$D$11</f>
        <v>0.02</v>
      </c>
      <c r="G12" s="29">
        <f t="shared" ref="G12:G23" si="7">($D$11^2)/E12</f>
        <v>62.5</v>
      </c>
      <c r="J12">
        <v>0.91</v>
      </c>
      <c r="K12">
        <v>3</v>
      </c>
      <c r="L12">
        <f t="shared" ref="L12:L15" si="8">$M$1/J12</f>
        <v>0.21978021978021978</v>
      </c>
      <c r="O12" s="49">
        <v>3</v>
      </c>
      <c r="P12" s="49">
        <f t="shared" ref="P12:P13" si="9">4.4/O12</f>
        <v>1.4666666666666668</v>
      </c>
      <c r="Q12" s="29">
        <f t="shared" ref="Q12:Q13" si="10">O12*O12*P12</f>
        <v>13.200000000000001</v>
      </c>
    </row>
    <row r="13" spans="1:17" x14ac:dyDescent="0.25">
      <c r="A13" s="50">
        <v>3</v>
      </c>
      <c r="B13" s="50">
        <v>0.6</v>
      </c>
      <c r="C13">
        <f>1.25/(A13-(1.25/B13))</f>
        <v>1.3636363636363638</v>
      </c>
      <c r="E13" s="50">
        <v>0.03</v>
      </c>
      <c r="F13" s="49">
        <f t="shared" si="6"/>
        <v>2.4E-2</v>
      </c>
      <c r="G13" s="29">
        <f t="shared" si="7"/>
        <v>52.083333333333336</v>
      </c>
      <c r="J13">
        <v>1.2</v>
      </c>
      <c r="K13">
        <v>3</v>
      </c>
      <c r="L13">
        <f t="shared" si="8"/>
        <v>0.16666666666666669</v>
      </c>
      <c r="O13" s="49">
        <v>0.52500000000000002</v>
      </c>
      <c r="P13" s="49">
        <f t="shared" si="9"/>
        <v>8.3809523809523814</v>
      </c>
      <c r="Q13" s="29">
        <f t="shared" si="10"/>
        <v>2.31</v>
      </c>
    </row>
    <row r="14" spans="1:17" x14ac:dyDescent="0.25">
      <c r="A14" t="s">
        <v>26</v>
      </c>
      <c r="B14" s="24">
        <f>1.25/B13</f>
        <v>2.0833333333333335</v>
      </c>
      <c r="C14" s="24">
        <f>1.25/C13</f>
        <v>0.91666666666666663</v>
      </c>
      <c r="E14" s="50">
        <v>0.04</v>
      </c>
      <c r="F14" s="49">
        <f t="shared" si="6"/>
        <v>3.2000000000000001E-2</v>
      </c>
      <c r="G14" s="29">
        <f t="shared" si="7"/>
        <v>39.0625</v>
      </c>
      <c r="J14">
        <v>2.4</v>
      </c>
      <c r="K14">
        <v>2</v>
      </c>
      <c r="L14">
        <f t="shared" si="8"/>
        <v>8.3333333333333343E-2</v>
      </c>
    </row>
    <row r="15" spans="1:17" x14ac:dyDescent="0.25">
      <c r="A15" t="s">
        <v>29</v>
      </c>
      <c r="B15">
        <f>1.25*1.25/B13</f>
        <v>2.604166666666667</v>
      </c>
      <c r="C15">
        <f>1.25*1.25/C13</f>
        <v>1.1458333333333333</v>
      </c>
      <c r="E15" s="50">
        <v>0.05</v>
      </c>
      <c r="F15" s="49">
        <f t="shared" si="6"/>
        <v>0.04</v>
      </c>
      <c r="G15" s="29">
        <f t="shared" si="7"/>
        <v>31.25</v>
      </c>
      <c r="J15">
        <v>190</v>
      </c>
      <c r="L15">
        <f>$M$1*1000/J15</f>
        <v>1.0526315789473684</v>
      </c>
    </row>
    <row r="16" spans="1:17" x14ac:dyDescent="0.25">
      <c r="E16" s="50">
        <v>0.1</v>
      </c>
      <c r="F16" s="49">
        <f t="shared" si="6"/>
        <v>0.08</v>
      </c>
      <c r="G16" s="29">
        <f t="shared" si="7"/>
        <v>15.625</v>
      </c>
    </row>
    <row r="17" spans="5:8" x14ac:dyDescent="0.25">
      <c r="E17" s="50">
        <v>0.125</v>
      </c>
      <c r="F17" s="49">
        <f t="shared" si="6"/>
        <v>0.1</v>
      </c>
      <c r="G17" s="29">
        <f t="shared" si="7"/>
        <v>12.5</v>
      </c>
    </row>
    <row r="18" spans="5:8" x14ac:dyDescent="0.25">
      <c r="E18" s="50">
        <v>0.15</v>
      </c>
      <c r="F18" s="49">
        <f t="shared" si="6"/>
        <v>0.12</v>
      </c>
      <c r="G18" s="29">
        <f t="shared" si="7"/>
        <v>10.416666666666668</v>
      </c>
    </row>
    <row r="19" spans="5:8" x14ac:dyDescent="0.25">
      <c r="E19" s="50">
        <v>0.2</v>
      </c>
      <c r="F19" s="49">
        <f t="shared" si="6"/>
        <v>0.16</v>
      </c>
      <c r="G19" s="29">
        <f t="shared" si="7"/>
        <v>7.8125</v>
      </c>
    </row>
    <row r="20" spans="5:8" x14ac:dyDescent="0.25">
      <c r="E20" s="50">
        <v>0.3</v>
      </c>
      <c r="F20" s="49">
        <f t="shared" si="6"/>
        <v>0.24</v>
      </c>
      <c r="G20" s="29">
        <f t="shared" si="7"/>
        <v>5.2083333333333339</v>
      </c>
    </row>
    <row r="21" spans="5:8" x14ac:dyDescent="0.25">
      <c r="E21" s="50">
        <v>0.33300000000000002</v>
      </c>
      <c r="F21" s="49">
        <f t="shared" si="6"/>
        <v>0.26640000000000003</v>
      </c>
      <c r="G21" s="29">
        <f t="shared" si="7"/>
        <v>4.6921921921921923</v>
      </c>
    </row>
    <row r="22" spans="5:8" x14ac:dyDescent="0.25">
      <c r="E22" s="50">
        <v>0.4</v>
      </c>
      <c r="F22" s="49">
        <f t="shared" si="6"/>
        <v>0.32</v>
      </c>
      <c r="G22" s="29">
        <f t="shared" si="7"/>
        <v>3.90625</v>
      </c>
    </row>
    <row r="23" spans="5:8" x14ac:dyDescent="0.25">
      <c r="E23" s="50">
        <v>0.5</v>
      </c>
      <c r="F23" s="49">
        <f t="shared" si="6"/>
        <v>0.4</v>
      </c>
      <c r="G23" s="29">
        <f t="shared" si="7"/>
        <v>3.125</v>
      </c>
    </row>
    <row r="24" spans="5:8" x14ac:dyDescent="0.25">
      <c r="E24" s="50">
        <v>1</v>
      </c>
      <c r="F24" s="49">
        <f t="shared" ref="F24" si="11">E24/$D$11</f>
        <v>0.8</v>
      </c>
      <c r="G24" s="29">
        <f t="shared" ref="G24" si="12">($D$11^2)/E24</f>
        <v>1.5625</v>
      </c>
      <c r="H24" s="29"/>
    </row>
  </sheetData>
  <mergeCells count="2">
    <mergeCell ref="C1:D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C5F9-8471-41C7-98BB-FB4D01E40ADC}">
  <dimension ref="A1:U24"/>
  <sheetViews>
    <sheetView topLeftCell="P1" workbookViewId="0">
      <selection activeCell="U8" sqref="U8"/>
    </sheetView>
  </sheetViews>
  <sheetFormatPr defaultRowHeight="15" x14ac:dyDescent="0.25"/>
  <cols>
    <col min="3" max="3" width="7.5703125" customWidth="1"/>
    <col min="5" max="5" width="8.140625" customWidth="1"/>
    <col min="6" max="6" width="7.85546875" customWidth="1"/>
    <col min="7" max="7" width="9.42578125" bestFit="1" customWidth="1"/>
    <col min="9" max="9" width="5" bestFit="1" customWidth="1"/>
    <col min="10" max="10" width="6.5703125" bestFit="1" customWidth="1"/>
    <col min="12" max="12" width="10.5703125" bestFit="1" customWidth="1"/>
    <col min="13" max="14" width="13.140625" customWidth="1"/>
  </cols>
  <sheetData>
    <row r="1" spans="1:21" x14ac:dyDescent="0.25">
      <c r="A1" s="1" t="s">
        <v>31</v>
      </c>
      <c r="B1" s="1">
        <v>1.23</v>
      </c>
      <c r="C1" s="56" t="s">
        <v>0</v>
      </c>
      <c r="D1" s="57"/>
      <c r="E1" s="2"/>
      <c r="F1" s="57" t="s">
        <v>1</v>
      </c>
      <c r="G1" s="58"/>
      <c r="H1" s="3"/>
      <c r="I1" s="2"/>
      <c r="J1" s="2"/>
      <c r="K1" s="4"/>
    </row>
    <row r="2" spans="1:21" ht="45.75" thickBot="1" x14ac:dyDescent="0.3">
      <c r="A2" s="1" t="s">
        <v>2</v>
      </c>
      <c r="B2" s="1" t="s">
        <v>3</v>
      </c>
      <c r="C2" s="5" t="s">
        <v>4</v>
      </c>
      <c r="D2" s="6" t="s">
        <v>5</v>
      </c>
      <c r="E2" s="1" t="s">
        <v>6</v>
      </c>
      <c r="F2" s="7" t="s">
        <v>4</v>
      </c>
      <c r="G2" s="8" t="s">
        <v>5</v>
      </c>
      <c r="H2" s="5" t="s">
        <v>7</v>
      </c>
      <c r="I2" s="1" t="s">
        <v>8</v>
      </c>
      <c r="J2" s="1" t="s">
        <v>9</v>
      </c>
      <c r="K2" s="9" t="s">
        <v>10</v>
      </c>
      <c r="L2" s="1" t="s">
        <v>17</v>
      </c>
      <c r="M2" s="1" t="s">
        <v>18</v>
      </c>
      <c r="N2" s="1" t="s">
        <v>32</v>
      </c>
      <c r="O2" s="1" t="s">
        <v>34</v>
      </c>
      <c r="P2" s="1" t="s">
        <v>33</v>
      </c>
      <c r="Q2" s="1" t="s">
        <v>35</v>
      </c>
      <c r="R2" s="1" t="s">
        <v>37</v>
      </c>
      <c r="S2" s="1" t="s">
        <v>38</v>
      </c>
      <c r="T2" s="54" t="s">
        <v>39</v>
      </c>
      <c r="U2" s="1" t="s">
        <v>40</v>
      </c>
    </row>
    <row r="3" spans="1:21" x14ac:dyDescent="0.25">
      <c r="A3" s="10" t="s">
        <v>11</v>
      </c>
      <c r="B3" s="11">
        <v>8</v>
      </c>
      <c r="C3" s="12">
        <v>3.2</v>
      </c>
      <c r="D3" s="13">
        <v>3.4</v>
      </c>
      <c r="E3" s="14">
        <v>0.35</v>
      </c>
      <c r="F3" s="15">
        <f t="shared" ref="F3:G7" si="0">C3*$E3</f>
        <v>1.1199999999999999</v>
      </c>
      <c r="G3" s="16">
        <f t="shared" si="0"/>
        <v>1.19</v>
      </c>
      <c r="H3" s="17">
        <v>1</v>
      </c>
      <c r="I3" s="18">
        <f>B3/H3</f>
        <v>8</v>
      </c>
      <c r="J3" s="19">
        <f>I3*D3</f>
        <v>27.2</v>
      </c>
      <c r="K3" s="51">
        <f>H3*E3</f>
        <v>0.35</v>
      </c>
      <c r="L3" s="29">
        <f>vref/K3</f>
        <v>3.5142857142857147</v>
      </c>
      <c r="M3" s="23">
        <f>vref*K3</f>
        <v>0.43049999999999999</v>
      </c>
      <c r="N3" s="23">
        <f>J3+vref</f>
        <v>28.43</v>
      </c>
      <c r="O3" s="49">
        <f>2.1*($C$10)/N3</f>
        <v>0.77558916637354913</v>
      </c>
      <c r="P3" s="49">
        <f>IF(O3&gt;K3,L3,vref/O3)</f>
        <v>3.5142857142857147</v>
      </c>
      <c r="Q3" s="49">
        <f>(N3+$Q$8-$C$10)/(N3+$Q$8-0.6)</f>
        <v>0.65054712319096364</v>
      </c>
      <c r="R3">
        <f>Q3*($C$10-0.6)*1000000/52000</f>
        <v>123.85416383827962</v>
      </c>
      <c r="S3">
        <f>1.05*O3/(1-Q3)</f>
        <v>2.3304104179324021</v>
      </c>
      <c r="T3" s="55">
        <f>6.4*($C$10-0.6)*(2*Q3-1)/(1-Q3)</f>
        <v>54.592000000000006</v>
      </c>
      <c r="U3" t="s">
        <v>41</v>
      </c>
    </row>
    <row r="4" spans="1:21" x14ac:dyDescent="0.25">
      <c r="A4" s="20" t="s">
        <v>12</v>
      </c>
      <c r="B4" s="21">
        <v>2</v>
      </c>
      <c r="C4" s="22">
        <v>9</v>
      </c>
      <c r="D4" s="23">
        <v>12</v>
      </c>
      <c r="E4" s="24">
        <v>1.05</v>
      </c>
      <c r="F4" s="25">
        <f t="shared" si="0"/>
        <v>9.4500000000000011</v>
      </c>
      <c r="G4" s="26">
        <f t="shared" si="0"/>
        <v>12.600000000000001</v>
      </c>
      <c r="H4" s="27">
        <v>1</v>
      </c>
      <c r="I4" s="28">
        <f>B4/H4</f>
        <v>2</v>
      </c>
      <c r="J4" s="29">
        <f>I4*D4</f>
        <v>24</v>
      </c>
      <c r="K4" s="52">
        <f>H4*E4</f>
        <v>1.05</v>
      </c>
      <c r="L4" s="29">
        <f>vref/K4</f>
        <v>1.1714285714285713</v>
      </c>
      <c r="M4" s="23">
        <f>vref*K4</f>
        <v>1.2915000000000001</v>
      </c>
      <c r="N4" s="23">
        <f>J4+vref</f>
        <v>25.23</v>
      </c>
      <c r="O4" s="49">
        <f t="shared" ref="O4:O7" si="1">2.1*($C$10)/N4</f>
        <v>0.87395957193816887</v>
      </c>
      <c r="P4" s="49">
        <f>IF(O4&gt;K4,L4,vref/O4)</f>
        <v>1.4073877551020408</v>
      </c>
      <c r="Q4" s="49">
        <f t="shared" ref="Q4:Q7" si="2">(N4+$Q$8-$C$10)/(N4+$Q$8-0.6)</f>
        <v>0.60604854755272586</v>
      </c>
      <c r="R4">
        <f t="shared" ref="R4:R7" si="3">Q4*($C$10-0.6)*1000000/52000</f>
        <v>115.38231963023048</v>
      </c>
      <c r="S4">
        <f t="shared" ref="S4:S7" si="4">1.05*O4/(1-Q4)</f>
        <v>2.329367095449141</v>
      </c>
      <c r="T4" s="55">
        <f t="shared" ref="T4:T7" si="5">6.4*($C$10-0.6)*(2*Q4-1)/(1-Q4)</f>
        <v>34.112000000000016</v>
      </c>
      <c r="U4" t="s">
        <v>41</v>
      </c>
    </row>
    <row r="5" spans="1:21" x14ac:dyDescent="0.25">
      <c r="A5" s="20" t="s">
        <v>13</v>
      </c>
      <c r="B5" s="21">
        <v>4</v>
      </c>
      <c r="C5" s="22">
        <v>2</v>
      </c>
      <c r="D5" s="23">
        <v>2.2000000000000002</v>
      </c>
      <c r="E5" s="24">
        <v>0.26250000000000001</v>
      </c>
      <c r="F5" s="25">
        <f t="shared" si="0"/>
        <v>0.52500000000000002</v>
      </c>
      <c r="G5" s="26">
        <f t="shared" si="0"/>
        <v>0.57750000000000012</v>
      </c>
      <c r="H5" s="27">
        <v>1</v>
      </c>
      <c r="I5" s="28">
        <f>B5/H5</f>
        <v>4</v>
      </c>
      <c r="J5" s="29">
        <f>I5*D5</f>
        <v>8.8000000000000007</v>
      </c>
      <c r="K5" s="52">
        <f>H5*E5</f>
        <v>0.26250000000000001</v>
      </c>
      <c r="L5" s="29">
        <f>vref/K5</f>
        <v>4.6857142857142851</v>
      </c>
      <c r="M5" s="23">
        <f>vref*K5</f>
        <v>0.32287500000000002</v>
      </c>
      <c r="N5" s="23"/>
      <c r="O5" s="49"/>
      <c r="P5" s="49"/>
      <c r="Q5" s="49"/>
      <c r="T5" s="55"/>
    </row>
    <row r="6" spans="1:21" x14ac:dyDescent="0.25">
      <c r="A6" s="20" t="s">
        <v>14</v>
      </c>
      <c r="B6" s="21">
        <v>4</v>
      </c>
      <c r="C6" s="22">
        <v>2</v>
      </c>
      <c r="D6" s="23">
        <v>2.2000000000000002</v>
      </c>
      <c r="E6" s="24">
        <v>0.26250000000000001</v>
      </c>
      <c r="F6" s="25">
        <f t="shared" si="0"/>
        <v>0.52500000000000002</v>
      </c>
      <c r="G6" s="26">
        <f t="shared" si="0"/>
        <v>0.57750000000000012</v>
      </c>
      <c r="H6" s="27">
        <v>1</v>
      </c>
      <c r="I6" s="28">
        <f>B6/H6</f>
        <v>4</v>
      </c>
      <c r="J6" s="29">
        <f>I6*D6</f>
        <v>8.8000000000000007</v>
      </c>
      <c r="K6" s="52">
        <f>H6*E6</f>
        <v>0.26250000000000001</v>
      </c>
      <c r="L6" s="29">
        <f>vref/K6</f>
        <v>4.6857142857142851</v>
      </c>
      <c r="M6" s="23">
        <f>vref*K6</f>
        <v>0.32287500000000002</v>
      </c>
      <c r="N6" s="23"/>
      <c r="O6" s="49"/>
      <c r="P6" s="49"/>
      <c r="Q6" s="49"/>
      <c r="T6" s="55"/>
    </row>
    <row r="7" spans="1:21" ht="15.75" thickBot="1" x14ac:dyDescent="0.3">
      <c r="A7" s="30" t="s">
        <v>15</v>
      </c>
      <c r="B7" s="31">
        <v>8</v>
      </c>
      <c r="C7" s="32">
        <v>1.7</v>
      </c>
      <c r="D7" s="33">
        <v>1.9</v>
      </c>
      <c r="E7" s="34">
        <v>0.26250000000000001</v>
      </c>
      <c r="F7" s="35">
        <f t="shared" si="0"/>
        <v>0.44624999999999998</v>
      </c>
      <c r="G7" s="36">
        <f t="shared" si="0"/>
        <v>0.49874999999999997</v>
      </c>
      <c r="H7" s="37">
        <v>1</v>
      </c>
      <c r="I7" s="38">
        <f>B7/H7</f>
        <v>8</v>
      </c>
      <c r="J7" s="39">
        <f>I7*D7</f>
        <v>15.2</v>
      </c>
      <c r="K7" s="53">
        <f>H7*E7</f>
        <v>0.26250000000000001</v>
      </c>
      <c r="L7" s="29">
        <f>vref/K7</f>
        <v>4.6857142857142851</v>
      </c>
      <c r="M7" s="23">
        <f>vref*K7</f>
        <v>0.32287500000000002</v>
      </c>
      <c r="N7" s="23">
        <f>J7+vref</f>
        <v>16.43</v>
      </c>
      <c r="O7" s="49">
        <f t="shared" si="1"/>
        <v>1.3420572124163117</v>
      </c>
      <c r="P7" s="49">
        <f>IF(O7&gt;K7,L7,vref/O7)</f>
        <v>4.6857142857142851</v>
      </c>
      <c r="Q7" s="49">
        <f t="shared" si="2"/>
        <v>0.39375382731169628</v>
      </c>
      <c r="R7">
        <f t="shared" si="3"/>
        <v>74.964670968957563</v>
      </c>
      <c r="S7">
        <f t="shared" si="4"/>
        <v>2.3244024235046759</v>
      </c>
      <c r="T7" s="55">
        <f t="shared" si="5"/>
        <v>-22.207999999999998</v>
      </c>
      <c r="U7" t="s">
        <v>42</v>
      </c>
    </row>
    <row r="8" spans="1:21" ht="15.75" thickBot="1" x14ac:dyDescent="0.3">
      <c r="B8" s="40"/>
      <c r="D8" s="41"/>
      <c r="F8" s="42"/>
      <c r="J8" s="29">
        <f>MAX(J3:J7)+1.25</f>
        <v>28.45</v>
      </c>
      <c r="K8" t="s">
        <v>30</v>
      </c>
      <c r="P8" t="s">
        <v>36</v>
      </c>
      <c r="Q8">
        <v>0.5</v>
      </c>
    </row>
    <row r="9" spans="1:21" x14ac:dyDescent="0.25">
      <c r="A9" s="43"/>
      <c r="B9" s="44" t="s">
        <v>5</v>
      </c>
      <c r="C9" s="45" t="s">
        <v>4</v>
      </c>
      <c r="D9" s="41"/>
      <c r="F9" s="42"/>
    </row>
    <row r="10" spans="1:21" ht="15.75" thickBot="1" x14ac:dyDescent="0.3">
      <c r="A10" s="46" t="s">
        <v>16</v>
      </c>
      <c r="B10" s="47">
        <f>3*4.1</f>
        <v>12.299999999999999</v>
      </c>
      <c r="C10" s="48">
        <v>10.5</v>
      </c>
      <c r="D10" s="42" t="s">
        <v>20</v>
      </c>
      <c r="E10" t="s">
        <v>19</v>
      </c>
      <c r="F10" t="s">
        <v>22</v>
      </c>
      <c r="G10" t="s">
        <v>21</v>
      </c>
      <c r="J10" t="s">
        <v>27</v>
      </c>
      <c r="K10" t="s">
        <v>28</v>
      </c>
    </row>
    <row r="11" spans="1:21" x14ac:dyDescent="0.25">
      <c r="D11">
        <v>1.25</v>
      </c>
      <c r="E11" s="50">
        <v>0.01</v>
      </c>
      <c r="F11" s="49">
        <f>E11/$D$11</f>
        <v>8.0000000000000002E-3</v>
      </c>
      <c r="G11" s="29">
        <f>($D$11^2)/E11</f>
        <v>156.25</v>
      </c>
      <c r="J11">
        <v>0.33</v>
      </c>
      <c r="K11">
        <v>5</v>
      </c>
      <c r="O11" s="49"/>
      <c r="P11" s="49"/>
      <c r="Q11" s="29"/>
    </row>
    <row r="12" spans="1:21" x14ac:dyDescent="0.25">
      <c r="A12" t="s">
        <v>23</v>
      </c>
      <c r="B12" t="s">
        <v>24</v>
      </c>
      <c r="C12" t="s">
        <v>25</v>
      </c>
      <c r="E12" s="50">
        <v>2.5000000000000001E-2</v>
      </c>
      <c r="F12" s="49">
        <f t="shared" ref="F12:F24" si="6">E12/$D$11</f>
        <v>0.02</v>
      </c>
      <c r="G12" s="29">
        <f t="shared" ref="G12:G24" si="7">($D$11^2)/E12</f>
        <v>62.5</v>
      </c>
      <c r="J12">
        <v>0.91</v>
      </c>
      <c r="K12">
        <v>3</v>
      </c>
      <c r="O12" s="49"/>
      <c r="P12" s="49"/>
      <c r="Q12" s="29"/>
    </row>
    <row r="13" spans="1:21" x14ac:dyDescent="0.25">
      <c r="A13" s="50">
        <v>3</v>
      </c>
      <c r="B13" s="50">
        <v>0.6</v>
      </c>
      <c r="C13">
        <f>1.25/(A13-(1.25/B13))</f>
        <v>1.3636363636363638</v>
      </c>
      <c r="E13" s="50">
        <v>0.03</v>
      </c>
      <c r="F13" s="49">
        <f t="shared" si="6"/>
        <v>2.4E-2</v>
      </c>
      <c r="G13" s="29">
        <f t="shared" si="7"/>
        <v>52.083333333333336</v>
      </c>
      <c r="J13">
        <v>1.2</v>
      </c>
      <c r="K13">
        <v>3</v>
      </c>
      <c r="O13" s="49"/>
      <c r="P13" s="49"/>
      <c r="Q13" s="29"/>
    </row>
    <row r="14" spans="1:21" x14ac:dyDescent="0.25">
      <c r="A14" t="s">
        <v>26</v>
      </c>
      <c r="B14" s="24">
        <f>1.25/B13</f>
        <v>2.0833333333333335</v>
      </c>
      <c r="C14" s="24">
        <f>1.25/C13</f>
        <v>0.91666666666666663</v>
      </c>
      <c r="E14" s="50">
        <v>0.04</v>
      </c>
      <c r="F14" s="49">
        <f t="shared" si="6"/>
        <v>3.2000000000000001E-2</v>
      </c>
      <c r="G14" s="29">
        <f t="shared" si="7"/>
        <v>39.0625</v>
      </c>
      <c r="J14">
        <v>2.4</v>
      </c>
      <c r="K14">
        <v>2</v>
      </c>
    </row>
    <row r="15" spans="1:21" x14ac:dyDescent="0.25">
      <c r="A15" t="s">
        <v>29</v>
      </c>
      <c r="B15">
        <f>1.25*1.25/B13</f>
        <v>2.604166666666667</v>
      </c>
      <c r="C15">
        <f>1.25*1.25/C13</f>
        <v>1.1458333333333333</v>
      </c>
      <c r="E15" s="50">
        <v>0.05</v>
      </c>
      <c r="F15" s="49">
        <f t="shared" si="6"/>
        <v>0.04</v>
      </c>
      <c r="G15" s="29">
        <f t="shared" si="7"/>
        <v>31.25</v>
      </c>
    </row>
    <row r="16" spans="1:21" x14ac:dyDescent="0.25">
      <c r="E16" s="50">
        <v>0.1</v>
      </c>
      <c r="F16" s="49">
        <f t="shared" si="6"/>
        <v>0.08</v>
      </c>
      <c r="G16" s="29">
        <f t="shared" si="7"/>
        <v>15.625</v>
      </c>
    </row>
    <row r="17" spans="5:8" x14ac:dyDescent="0.25">
      <c r="E17" s="50">
        <v>0.125</v>
      </c>
      <c r="F17" s="49">
        <f t="shared" si="6"/>
        <v>0.1</v>
      </c>
      <c r="G17" s="29">
        <f t="shared" si="7"/>
        <v>12.5</v>
      </c>
    </row>
    <row r="18" spans="5:8" x14ac:dyDescent="0.25">
      <c r="E18" s="50">
        <v>0.15</v>
      </c>
      <c r="F18" s="49">
        <f t="shared" si="6"/>
        <v>0.12</v>
      </c>
      <c r="G18" s="29">
        <f t="shared" si="7"/>
        <v>10.416666666666668</v>
      </c>
    </row>
    <row r="19" spans="5:8" x14ac:dyDescent="0.25">
      <c r="E19" s="50">
        <v>0.2</v>
      </c>
      <c r="F19" s="49">
        <f t="shared" si="6"/>
        <v>0.16</v>
      </c>
      <c r="G19" s="29">
        <f t="shared" si="7"/>
        <v>7.8125</v>
      </c>
    </row>
    <row r="20" spans="5:8" x14ac:dyDescent="0.25">
      <c r="E20" s="50">
        <v>0.3</v>
      </c>
      <c r="F20" s="49">
        <f t="shared" si="6"/>
        <v>0.24</v>
      </c>
      <c r="G20" s="29">
        <f t="shared" si="7"/>
        <v>5.2083333333333339</v>
      </c>
    </row>
    <row r="21" spans="5:8" x14ac:dyDescent="0.25">
      <c r="E21" s="50">
        <v>0.33300000000000002</v>
      </c>
      <c r="F21" s="49">
        <f t="shared" si="6"/>
        <v>0.26640000000000003</v>
      </c>
      <c r="G21" s="29">
        <f t="shared" si="7"/>
        <v>4.6921921921921923</v>
      </c>
    </row>
    <row r="22" spans="5:8" x14ac:dyDescent="0.25">
      <c r="E22" s="50">
        <v>0.4</v>
      </c>
      <c r="F22" s="49">
        <f t="shared" si="6"/>
        <v>0.32</v>
      </c>
      <c r="G22" s="29">
        <f t="shared" si="7"/>
        <v>3.90625</v>
      </c>
    </row>
    <row r="23" spans="5:8" x14ac:dyDescent="0.25">
      <c r="E23" s="50">
        <v>0.5</v>
      </c>
      <c r="F23" s="49">
        <f t="shared" si="6"/>
        <v>0.4</v>
      </c>
      <c r="G23" s="29">
        <f t="shared" si="7"/>
        <v>3.125</v>
      </c>
    </row>
    <row r="24" spans="5:8" x14ac:dyDescent="0.25">
      <c r="E24" s="50">
        <v>1</v>
      </c>
      <c r="F24" s="49">
        <f t="shared" si="6"/>
        <v>0.8</v>
      </c>
      <c r="G24" s="29">
        <f t="shared" si="7"/>
        <v>1.5625</v>
      </c>
      <c r="H24" s="29"/>
    </row>
  </sheetData>
  <mergeCells count="2">
    <mergeCell ref="C1:D1"/>
    <mergeCell ref="F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3D256EB3D4624492E4296A1D365F1D" ma:contentTypeVersion="10" ma:contentTypeDescription="Create a new document." ma:contentTypeScope="" ma:versionID="3d863e8765cab8202a927138fa30872f">
  <xsd:schema xmlns:xsd="http://www.w3.org/2001/XMLSchema" xmlns:xs="http://www.w3.org/2001/XMLSchema" xmlns:p="http://schemas.microsoft.com/office/2006/metadata/properties" xmlns:ns2="2dba689b-6488-438d-ac15-24f1fae10258" xmlns:ns3="8e676a4d-b672-41e5-be4b-bcdbf4cfdede" targetNamespace="http://schemas.microsoft.com/office/2006/metadata/properties" ma:root="true" ma:fieldsID="493c6e2a59e1bbe89908525d75ca319b" ns2:_="" ns3:_="">
    <xsd:import namespace="2dba689b-6488-438d-ac15-24f1fae10258"/>
    <xsd:import namespace="8e676a4d-b672-41e5-be4b-bcdbf4cfd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ba689b-6488-438d-ac15-24f1fae10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76a4d-b672-41e5-be4b-bcdbf4cfd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55E7D-8C2E-49DD-8CC5-89245D3D5A0D}"/>
</file>

<file path=customXml/itemProps2.xml><?xml version="1.0" encoding="utf-8"?>
<ds:datastoreItem xmlns:ds="http://schemas.openxmlformats.org/officeDocument/2006/customXml" ds:itemID="{4578D18C-FA01-4E1F-BE04-6C28EB3D9284}"/>
</file>

<file path=customXml/itemProps3.xml><?xml version="1.0" encoding="utf-8"?>
<ds:datastoreItem xmlns:ds="http://schemas.openxmlformats.org/officeDocument/2006/customXml" ds:itemID="{F27AC852-69C5-4398-A402-254A7F60D9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Step Up</vt:lpstr>
      <vt:lpstr>vref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2019-03-16T21:57:43Z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0x010100613D256EB3D4624492E4296A1D365F1D</vt:lpwstr>
  </property>
</Properties>
</file>